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600" windowHeight="9975" activeTab="2"/>
  </bookViews>
  <sheets>
    <sheet name="COARSE CEREAL " sheetId="6" r:id="rId1"/>
    <sheet name="Pulses " sheetId="5" r:id="rId2"/>
    <sheet name="Rice " sheetId="4" r:id="rId3"/>
  </sheets>
  <definedNames>
    <definedName name="_xlnm._FilterDatabase" localSheetId="2" hidden="1">'Rice '!$A$5:$L$66</definedName>
    <definedName name="_xlnm.Print_Area" localSheetId="1">'Pulses '!$A$1:$L$85</definedName>
    <definedName name="_xlnm.Print_Titles" localSheetId="1">'Pulses '!$4:$6</definedName>
    <definedName name="_xlnm.Print_Titles" localSheetId="2">'Rice '!$1:$5</definedName>
  </definedNames>
  <calcPr calcId="125725"/>
</workbook>
</file>

<file path=xl/calcChain.xml><?xml version="1.0" encoding="utf-8"?>
<calcChain xmlns="http://schemas.openxmlformats.org/spreadsheetml/2006/main">
  <c r="N59" i="4"/>
  <c r="L72" i="5"/>
  <c r="H72"/>
  <c r="L74"/>
  <c r="H74"/>
  <c r="K61"/>
  <c r="L61" s="1"/>
  <c r="K60"/>
  <c r="L60" s="1"/>
  <c r="K55"/>
  <c r="L55" s="1"/>
  <c r="K51"/>
  <c r="J49"/>
  <c r="K49"/>
  <c r="L49" s="1"/>
  <c r="L56" s="1"/>
  <c r="G33"/>
  <c r="H33" s="1"/>
  <c r="H32"/>
  <c r="K56" i="4"/>
  <c r="G53"/>
  <c r="H53" s="1"/>
  <c r="H59"/>
  <c r="J59" s="1"/>
  <c r="I59" s="1"/>
  <c r="L58"/>
  <c r="J45"/>
  <c r="K52"/>
  <c r="K49"/>
  <c r="K45"/>
  <c r="K41"/>
  <c r="K40"/>
  <c r="J52"/>
  <c r="H49"/>
  <c r="H45"/>
  <c r="L45" s="1"/>
  <c r="K36"/>
  <c r="K35"/>
  <c r="K34"/>
  <c r="K32"/>
  <c r="K37" s="1"/>
  <c r="K31"/>
  <c r="K30"/>
  <c r="L37"/>
  <c r="G37"/>
  <c r="H35"/>
  <c r="K25"/>
  <c r="G26"/>
  <c r="K26" s="1"/>
  <c r="I27"/>
  <c r="H18" i="6"/>
  <c r="F18"/>
  <c r="J17"/>
  <c r="J18" s="1"/>
  <c r="I22" i="4"/>
  <c r="I23" s="1"/>
  <c r="G22"/>
  <c r="G23" s="1"/>
  <c r="K21"/>
  <c r="K20"/>
  <c r="L20" s="1"/>
  <c r="K19"/>
  <c r="K18"/>
  <c r="K17"/>
  <c r="L17" s="1"/>
  <c r="K16"/>
  <c r="L16" s="1"/>
  <c r="K15"/>
  <c r="L15" s="1"/>
  <c r="K13"/>
  <c r="L13" s="1"/>
  <c r="K12"/>
  <c r="L12" s="1"/>
  <c r="K11"/>
  <c r="K10"/>
  <c r="L10" s="1"/>
  <c r="K9"/>
  <c r="L21"/>
  <c r="H21"/>
  <c r="H20"/>
  <c r="H19"/>
  <c r="H18"/>
  <c r="H17"/>
  <c r="H16"/>
  <c r="H15"/>
  <c r="H13"/>
  <c r="H12"/>
  <c r="H10"/>
  <c r="H9"/>
  <c r="H8"/>
  <c r="K8"/>
  <c r="J20"/>
  <c r="J19"/>
  <c r="J18"/>
  <c r="J17"/>
  <c r="J13"/>
  <c r="J8"/>
  <c r="I71" i="5"/>
  <c r="K71" s="1"/>
  <c r="G40"/>
  <c r="H40" s="1"/>
  <c r="K41"/>
  <c r="G41" s="1"/>
  <c r="I41" s="1"/>
  <c r="J41" s="1"/>
  <c r="G30"/>
  <c r="K73"/>
  <c r="J73"/>
  <c r="H73"/>
  <c r="H71"/>
  <c r="H75" s="1"/>
  <c r="I10" i="6"/>
  <c r="H10"/>
  <c r="G13"/>
  <c r="F10"/>
  <c r="I6"/>
  <c r="H6"/>
  <c r="F6"/>
  <c r="K64" i="5"/>
  <c r="J68"/>
  <c r="H67"/>
  <c r="H69" s="1"/>
  <c r="I38"/>
  <c r="I44"/>
  <c r="G45"/>
  <c r="G44"/>
  <c r="G31"/>
  <c r="I32"/>
  <c r="J32" s="1"/>
  <c r="I24"/>
  <c r="K24" s="1"/>
  <c r="I25"/>
  <c r="J25" s="1"/>
  <c r="I26"/>
  <c r="K26" s="1"/>
  <c r="I27"/>
  <c r="J27" s="1"/>
  <c r="K28"/>
  <c r="I29"/>
  <c r="J29" s="1"/>
  <c r="H24"/>
  <c r="H25"/>
  <c r="H26"/>
  <c r="H27"/>
  <c r="H28"/>
  <c r="H29"/>
  <c r="G36"/>
  <c r="I36" s="1"/>
  <c r="J17"/>
  <c r="J18"/>
  <c r="J19"/>
  <c r="J20"/>
  <c r="K20"/>
  <c r="K19"/>
  <c r="K18"/>
  <c r="K17"/>
  <c r="H17"/>
  <c r="H18"/>
  <c r="H19"/>
  <c r="H20"/>
  <c r="I21"/>
  <c r="G21"/>
  <c r="I15"/>
  <c r="G15"/>
  <c r="K9"/>
  <c r="K10"/>
  <c r="K11"/>
  <c r="K12"/>
  <c r="K13"/>
  <c r="K14"/>
  <c r="J9"/>
  <c r="J10"/>
  <c r="J11"/>
  <c r="J12"/>
  <c r="J13"/>
  <c r="J14"/>
  <c r="H9"/>
  <c r="H10"/>
  <c r="H11"/>
  <c r="H12"/>
  <c r="H13"/>
  <c r="H14"/>
  <c r="F8"/>
  <c r="J78"/>
  <c r="L77"/>
  <c r="L78" s="1"/>
  <c r="K68"/>
  <c r="K67"/>
  <c r="L67" s="1"/>
  <c r="L69" s="1"/>
  <c r="F67"/>
  <c r="F69" s="1"/>
  <c r="H64"/>
  <c r="F64"/>
  <c r="F61"/>
  <c r="F60"/>
  <c r="H59"/>
  <c r="F59"/>
  <c r="F55"/>
  <c r="F56" s="1"/>
  <c r="H52"/>
  <c r="F52"/>
  <c r="F51"/>
  <c r="H50"/>
  <c r="F50"/>
  <c r="F49"/>
  <c r="E45"/>
  <c r="F44"/>
  <c r="F41"/>
  <c r="F40"/>
  <c r="G39"/>
  <c r="I39" s="1"/>
  <c r="F38"/>
  <c r="F23"/>
  <c r="E22"/>
  <c r="F16"/>
  <c r="J16" i="4"/>
  <c r="J21"/>
  <c r="J65"/>
  <c r="F56"/>
  <c r="F53"/>
  <c r="F52"/>
  <c r="F49"/>
  <c r="H47"/>
  <c r="F47"/>
  <c r="J46"/>
  <c r="H46"/>
  <c r="F46"/>
  <c r="F45"/>
  <c r="H44"/>
  <c r="F44"/>
  <c r="H43"/>
  <c r="F43"/>
  <c r="H42"/>
  <c r="F42"/>
  <c r="F41"/>
  <c r="F40"/>
  <c r="E36"/>
  <c r="F35"/>
  <c r="F34"/>
  <c r="E32"/>
  <c r="F31"/>
  <c r="F30"/>
  <c r="E27"/>
  <c r="F26"/>
  <c r="F25"/>
  <c r="F14"/>
  <c r="F13"/>
  <c r="J12"/>
  <c r="F12"/>
  <c r="E11"/>
  <c r="E23" s="1"/>
  <c r="F10"/>
  <c r="F9"/>
  <c r="F8"/>
  <c r="C59" l="1"/>
  <c r="L62" i="5"/>
  <c r="H34"/>
  <c r="H26" i="4"/>
  <c r="K53"/>
  <c r="J49"/>
  <c r="L49" s="1"/>
  <c r="H41"/>
  <c r="G27"/>
  <c r="K27"/>
  <c r="J71" i="5"/>
  <c r="J75" s="1"/>
  <c r="I40"/>
  <c r="J40" s="1"/>
  <c r="L40" s="1"/>
  <c r="H31" i="4"/>
  <c r="L11" i="5"/>
  <c r="L12"/>
  <c r="H13" i="6"/>
  <c r="J10"/>
  <c r="F13"/>
  <c r="I13"/>
  <c r="L19" i="4"/>
  <c r="H11"/>
  <c r="L18"/>
  <c r="H22"/>
  <c r="H23" s="1"/>
  <c r="K22"/>
  <c r="K23" s="1"/>
  <c r="J15"/>
  <c r="J22" s="1"/>
  <c r="H30" i="5"/>
  <c r="L9"/>
  <c r="L14"/>
  <c r="K32"/>
  <c r="L32" s="1"/>
  <c r="I30"/>
  <c r="K21"/>
  <c r="L73"/>
  <c r="J6" i="6"/>
  <c r="J13" s="1"/>
  <c r="J67" i="5"/>
  <c r="J69" s="1"/>
  <c r="I62"/>
  <c r="J28"/>
  <c r="L28" s="1"/>
  <c r="H41"/>
  <c r="J24"/>
  <c r="L24" s="1"/>
  <c r="L20"/>
  <c r="L18"/>
  <c r="L29"/>
  <c r="L27"/>
  <c r="L25"/>
  <c r="G22"/>
  <c r="L19"/>
  <c r="L17"/>
  <c r="H36"/>
  <c r="J26"/>
  <c r="L26" s="1"/>
  <c r="K36"/>
  <c r="J36"/>
  <c r="I33"/>
  <c r="G34"/>
  <c r="H21"/>
  <c r="K29"/>
  <c r="K27"/>
  <c r="K25"/>
  <c r="I22"/>
  <c r="J21"/>
  <c r="H60"/>
  <c r="F22"/>
  <c r="L13"/>
  <c r="H15"/>
  <c r="L10"/>
  <c r="J15"/>
  <c r="K15"/>
  <c r="F42"/>
  <c r="H44"/>
  <c r="F45"/>
  <c r="F46" s="1"/>
  <c r="H51"/>
  <c r="J52"/>
  <c r="F62"/>
  <c r="J38"/>
  <c r="J44"/>
  <c r="J51"/>
  <c r="J61"/>
  <c r="K39"/>
  <c r="J39"/>
  <c r="J55"/>
  <c r="J60"/>
  <c r="H38"/>
  <c r="H39"/>
  <c r="H49"/>
  <c r="J50"/>
  <c r="H55"/>
  <c r="J59"/>
  <c r="H61"/>
  <c r="F54" i="4"/>
  <c r="L65"/>
  <c r="F11"/>
  <c r="F23" s="1"/>
  <c r="J10"/>
  <c r="E37"/>
  <c r="F27"/>
  <c r="F32"/>
  <c r="F36"/>
  <c r="J42"/>
  <c r="L42" s="1"/>
  <c r="J43"/>
  <c r="J44"/>
  <c r="J47"/>
  <c r="F50"/>
  <c r="H52"/>
  <c r="J53"/>
  <c r="L53" s="1"/>
  <c r="J34"/>
  <c r="J26"/>
  <c r="J31"/>
  <c r="H34"/>
  <c r="H36" s="1"/>
  <c r="J35"/>
  <c r="H40"/>
  <c r="J41"/>
  <c r="L36" i="5" l="1"/>
  <c r="J58" i="4"/>
  <c r="I58" s="1"/>
  <c r="H56" i="5"/>
  <c r="J56"/>
  <c r="L71"/>
  <c r="K33"/>
  <c r="L33" s="1"/>
  <c r="J33"/>
  <c r="L26" i="4"/>
  <c r="L41"/>
  <c r="J54"/>
  <c r="H50"/>
  <c r="H54"/>
  <c r="H55" s="1"/>
  <c r="L52"/>
  <c r="L54" s="1"/>
  <c r="K40" i="5"/>
  <c r="H60" i="4"/>
  <c r="L22"/>
  <c r="L21" i="5"/>
  <c r="I63"/>
  <c r="K22"/>
  <c r="L15"/>
  <c r="K30"/>
  <c r="L30"/>
  <c r="J30"/>
  <c r="K62"/>
  <c r="H62"/>
  <c r="J62"/>
  <c r="I34"/>
  <c r="K34" s="1"/>
  <c r="H22"/>
  <c r="J22"/>
  <c r="F47"/>
  <c r="L44"/>
  <c r="L39"/>
  <c r="J64"/>
  <c r="J42"/>
  <c r="L38"/>
  <c r="H42"/>
  <c r="L41"/>
  <c r="F37" i="4"/>
  <c r="F66" s="1"/>
  <c r="J40"/>
  <c r="J50" s="1"/>
  <c r="J36"/>
  <c r="L75" i="5" l="1"/>
  <c r="L22"/>
  <c r="J60" i="4"/>
  <c r="J55"/>
  <c r="L40"/>
  <c r="L50" s="1"/>
  <c r="H63" i="5"/>
  <c r="K63"/>
  <c r="L64"/>
  <c r="J34"/>
  <c r="L34" s="1"/>
  <c r="F79"/>
  <c r="F80" s="1"/>
  <c r="L42"/>
  <c r="L55" i="4" l="1"/>
  <c r="L63" i="5"/>
  <c r="H45" l="1"/>
  <c r="H46" s="1"/>
  <c r="I45"/>
  <c r="H47" l="1"/>
  <c r="H79" s="1"/>
  <c r="J45"/>
  <c r="H80" l="1"/>
  <c r="J46"/>
  <c r="J47" s="1"/>
  <c r="L45"/>
  <c r="L46" s="1"/>
  <c r="L47" s="1"/>
  <c r="L80" s="1"/>
  <c r="L79" l="1"/>
  <c r="L8" i="4" l="1"/>
  <c r="L11" s="1"/>
  <c r="L23" s="1"/>
  <c r="L9"/>
  <c r="J9"/>
  <c r="J11" s="1"/>
  <c r="J23" s="1"/>
  <c r="H25" l="1"/>
  <c r="H27" l="1"/>
  <c r="L25"/>
  <c r="L27" s="1"/>
  <c r="J25"/>
  <c r="J27" s="1"/>
  <c r="J30"/>
  <c r="J32" s="1"/>
  <c r="J37" s="1"/>
  <c r="H30" l="1"/>
  <c r="H32" s="1"/>
  <c r="H37" s="1"/>
  <c r="J66" l="1"/>
  <c r="L56"/>
  <c r="L66" s="1"/>
  <c r="H66" l="1"/>
  <c r="J63" i="5" l="1"/>
  <c r="J79" l="1"/>
  <c r="J80"/>
</calcChain>
</file>

<file path=xl/sharedStrings.xml><?xml version="1.0" encoding="utf-8"?>
<sst xmlns="http://schemas.openxmlformats.org/spreadsheetml/2006/main" count="345" uniqueCount="212">
  <si>
    <t>STATE : ASSAM (13 districts)</t>
  </si>
  <si>
    <t>Financial Rs in Lakhs</t>
  </si>
  <si>
    <t>Sl. No.</t>
  </si>
  <si>
    <t>Interventions</t>
  </si>
  <si>
    <t>Approved Rate of Assistance</t>
  </si>
  <si>
    <t>Unit</t>
  </si>
  <si>
    <t>Target Approved
by GOI</t>
  </si>
  <si>
    <t>Phy</t>
  </si>
  <si>
    <t>Fin</t>
  </si>
  <si>
    <t>Cluster demonstration by state Department of Agriculture  with the Technical backstopping of ICAR / SAUs/ IRRI (One cluster of 100 ha )</t>
  </si>
  <si>
    <t>ha</t>
  </si>
  <si>
    <t>a)   Direct seeded Rice /Line Transplanting/ SRI (Target 1.5% of area of districts )</t>
  </si>
  <si>
    <t>i) Cluster Demonstration on Direct Seed rice (Target 1.5% of area of districts )</t>
  </si>
  <si>
    <t>Rs. 7500/  ha</t>
  </si>
  <si>
    <t>ii) Cluster Demonstration on Line Transplanting (Target 1.5% of area of districts )</t>
  </si>
  <si>
    <t>iii) Cluster Demonstration on SRI (Target 1.5% of area of districts )</t>
  </si>
  <si>
    <t>Sub Total of 1 (a)</t>
  </si>
  <si>
    <t>b) Cluster demonstration on Hybrid Rice (One       cluster of 100 ha) (Target 0.5% of area of districts)</t>
  </si>
  <si>
    <t xml:space="preserve">Rs. 7500/  ha </t>
  </si>
  <si>
    <t xml:space="preserve">ha. </t>
  </si>
  <si>
    <t>c) Cluster Demonstration on Swarna Sub-1,  Sahbhagi Dhan of 100 ha each</t>
  </si>
  <si>
    <t>d)  Cropping System Based Demonstration</t>
  </si>
  <si>
    <t xml:space="preserve">Rs. 12500/  ha </t>
  </si>
  <si>
    <t>Seed Distribution</t>
  </si>
  <si>
    <t>a)    Hybrid Rice Seed</t>
  </si>
  <si>
    <t>Rs  5000/ Qtl</t>
  </si>
  <si>
    <t>qtl</t>
  </si>
  <si>
    <t>b)    HYVs Seeds</t>
  </si>
  <si>
    <t>Rs  1000/ Qtl</t>
  </si>
  <si>
    <t xml:space="preserve"> qtl</t>
  </si>
  <si>
    <t>Sub –total 2(a) to 2(b)</t>
  </si>
  <si>
    <t xml:space="preserve">Plant and Soil Protection  Management </t>
  </si>
  <si>
    <t>a) Soil Management (INM)</t>
  </si>
  <si>
    <t>i)     Micronutrients</t>
  </si>
  <si>
    <t>Rs 500/ ha</t>
  </si>
  <si>
    <t xml:space="preserve">ha </t>
  </si>
  <si>
    <t xml:space="preserve">ii)     Liming in Acidic Soils </t>
  </si>
  <si>
    <t>Rs 1000/ ha</t>
  </si>
  <si>
    <t>Sub-Total Soil Management (INM)</t>
  </si>
  <si>
    <t>b) Plant Protection Management</t>
  </si>
  <si>
    <t xml:space="preserve">i)     Plant Protection Chemicals &amp; bio-agents </t>
  </si>
  <si>
    <t>ii) Weedicides</t>
  </si>
  <si>
    <t>Sub Total Plant Management (IPM)</t>
  </si>
  <si>
    <t>Resource Conservation Technologies/Tools:</t>
  </si>
  <si>
    <t>A. Under  NFSM</t>
  </si>
  <si>
    <t xml:space="preserve">Rs 600/ unit </t>
  </si>
  <si>
    <t>nos</t>
  </si>
  <si>
    <t xml:space="preserve">Rs 3000/ unit </t>
  </si>
  <si>
    <t xml:space="preserve">Rs 15000/ unit </t>
  </si>
  <si>
    <t xml:space="preserve">Rs 1500/ unit </t>
  </si>
  <si>
    <t xml:space="preserve">Rs 35000/ unit </t>
  </si>
  <si>
    <t xml:space="preserve">Rs 150000/ unit </t>
  </si>
  <si>
    <t>Rs 75000/ unit</t>
  </si>
  <si>
    <t>B .Other machinery approved under SMAM (Sub Mission of Agricultural Mechanisation)</t>
  </si>
  <si>
    <t xml:space="preserve">Rs 75000/ unit </t>
  </si>
  <si>
    <t>Water Application Tools:</t>
  </si>
  <si>
    <t>a) Incentive for Pump sets</t>
  </si>
  <si>
    <t>Rs 10000/- Unit</t>
  </si>
  <si>
    <t>i) Water Carrying pipe</t>
  </si>
  <si>
    <t>Rs.15000/- or Rs 25/- per m upto 600 m</t>
  </si>
  <si>
    <t>Rm</t>
  </si>
  <si>
    <t>Sub Total 5 (a) to (b)</t>
  </si>
  <si>
    <t>Cropping System based trainings
(Four Sessions i.e. one  before Kharif and Rabi crops and One each during Kharif&amp;Rabi)</t>
  </si>
  <si>
    <t xml:space="preserve">Rs. 3500/-Session and  Rs. 14000/ training </t>
  </si>
  <si>
    <t xml:space="preserve">Local Initiative </t>
  </si>
  <si>
    <t>Other initiatives</t>
  </si>
  <si>
    <t>a) Demonstration by NGO's</t>
  </si>
  <si>
    <t>b) Assistance for Custom hiring</t>
  </si>
  <si>
    <t>c) Specialised Projects</t>
  </si>
  <si>
    <t>Sub- Total 8(a) to 8(c.)</t>
  </si>
  <si>
    <t xml:space="preserve"> Total </t>
  </si>
  <si>
    <t xml:space="preserve">Central Share </t>
  </si>
  <si>
    <t>State share</t>
  </si>
  <si>
    <t>Target Proposed by
State</t>
  </si>
  <si>
    <t xml:space="preserve">Target by GOI
</t>
  </si>
  <si>
    <t>Sub-Total 1(a) to 1(d)</t>
  </si>
  <si>
    <t>Sub-total 3(a) &amp;3(b)</t>
  </si>
  <si>
    <t>i)    Conoweeder</t>
  </si>
  <si>
    <t>ii)    Manual Sprayer</t>
  </si>
  <si>
    <t>iii)    Power Knack Sack Sprayers</t>
  </si>
  <si>
    <t>iv)    Seed Drill</t>
  </si>
  <si>
    <t>v)   Drum Seeder</t>
  </si>
  <si>
    <t>vi)   Rotavators</t>
  </si>
  <si>
    <t>vii)   Laser Land Levelers</t>
  </si>
  <si>
    <t>viii) Self Propelled Paddy Transplanter 
(above 4-8 rows)</t>
  </si>
  <si>
    <t>i)  Power Tiller (above 8 hp)</t>
  </si>
  <si>
    <t>Total Machinery 4(A) to 4(B)</t>
  </si>
  <si>
    <t>(i) Rice + Lentil</t>
  </si>
  <si>
    <t>(ii) Rice +Pea</t>
  </si>
  <si>
    <t>(iii) Rice + Lathyrus</t>
  </si>
  <si>
    <t>(iv) Rice + Rajmah</t>
  </si>
  <si>
    <t>(v) Rice + Summer Blackgram</t>
  </si>
  <si>
    <t>(vi) Rice + Summer Greengram</t>
  </si>
  <si>
    <t>(vii) Rice + Rabi maize</t>
  </si>
  <si>
    <t>STATE : ASSAM (27 districts)</t>
  </si>
  <si>
    <t>Demonstration on Improved technologies :-</t>
  </si>
  <si>
    <t>a) Cluster demonstration (100 ha each)</t>
  </si>
  <si>
    <t>Rs 7500/ ha</t>
  </si>
  <si>
    <t>b) Cropping system based demonstrations</t>
  </si>
  <si>
    <t>Rs 12500/ha</t>
  </si>
  <si>
    <t>Sub Total 1(a) to 1(b)</t>
  </si>
  <si>
    <t>Rs 2500/qtls</t>
  </si>
  <si>
    <t>Qtls</t>
  </si>
  <si>
    <t>INM &amp; IPM</t>
  </si>
  <si>
    <t>A) Integrated Nutrient Management:-(INM)</t>
  </si>
  <si>
    <t>i) Micronutrients</t>
  </si>
  <si>
    <t>Rs 500/ha</t>
  </si>
  <si>
    <t xml:space="preserve">ii) Gypsum /80% WG Sulphur </t>
  </si>
  <si>
    <t>Rs 750/ha</t>
  </si>
  <si>
    <t>iii) Lime</t>
  </si>
  <si>
    <t>Rs 1000/ha</t>
  </si>
  <si>
    <t>iv) Bio fertilizers</t>
  </si>
  <si>
    <t>Subtotal (A)</t>
  </si>
  <si>
    <t>B) Integrated  Pest Management (IPM)</t>
  </si>
  <si>
    <t xml:space="preserve">i) Distribution of PP Chemical </t>
  </si>
  <si>
    <t>Subtotal (B)</t>
  </si>
  <si>
    <t>Subtotal IPM  3(a) to 3(b)</t>
  </si>
  <si>
    <t>Farm Machineries, Irrigation and Custom Hiring</t>
  </si>
  <si>
    <t xml:space="preserve">a) Manual sprayer </t>
  </si>
  <si>
    <t>Rs. 600/unit</t>
  </si>
  <si>
    <t>b) Power Knapsack Sprayer</t>
  </si>
  <si>
    <t>Rs. 3000/unit</t>
  </si>
  <si>
    <t>c) Rotavator</t>
  </si>
  <si>
    <t>Rs. 35000/unit</t>
  </si>
  <si>
    <t>d) Multi Crop Thresher</t>
  </si>
  <si>
    <t>Rs 40000/unit</t>
  </si>
  <si>
    <t>Other machinery approved by SMAM (Sub Mission of Agricultural Mechanisation)</t>
  </si>
  <si>
    <t>a)  Power Tiller (above 8 hp)</t>
  </si>
  <si>
    <t>Subtotal 5(a)</t>
  </si>
  <si>
    <t>Efficient Water Application Tools:</t>
  </si>
  <si>
    <t>a) Sprinkler sets</t>
  </si>
  <si>
    <t>Rs. 10000/ha</t>
  </si>
  <si>
    <t>b)  Pumps sets</t>
  </si>
  <si>
    <t>Rs. 10000/unit</t>
  </si>
  <si>
    <t>c) Pipe for carrying water from source to field</t>
  </si>
  <si>
    <t>Rs.15000 or Rs 25 per m upto 600 m</t>
  </si>
  <si>
    <t>mtr</t>
  </si>
  <si>
    <t>Sub Total 6(a) to (c)</t>
  </si>
  <si>
    <t xml:space="preserve">Rs. 3500/Session  Rs. 14000/ per training </t>
  </si>
  <si>
    <t>Miscellaneous Expenses</t>
  </si>
  <si>
    <t xml:space="preserve">a) Project Management Team &amp; Other Miscellaneous Expenses at District level </t>
  </si>
  <si>
    <t>No of District</t>
  </si>
  <si>
    <t>b) Project Management Team &amp; Other Miscellaneous Expenses at state  level</t>
  </si>
  <si>
    <t>-</t>
  </si>
  <si>
    <t>Other initatives</t>
  </si>
  <si>
    <t>(a) Demonstration by NGOs</t>
  </si>
  <si>
    <t>Sub Total 10(a)</t>
  </si>
  <si>
    <t>Total NFSM Pulse ( Without PMT)</t>
  </si>
  <si>
    <t>Total NFSM Pulse ( With PMT)</t>
  </si>
  <si>
    <t>Director of Agriculture, Assam &amp;</t>
  </si>
  <si>
    <t>Mission Director NFSM</t>
  </si>
  <si>
    <t>Directorate of Agriculture, Assam</t>
  </si>
  <si>
    <t>Khanapara, Guwahati-22</t>
  </si>
  <si>
    <t>(i) Blackgram (Kharif)</t>
  </si>
  <si>
    <t>(ii) Green gram( Kharif)</t>
  </si>
  <si>
    <t>(iii) Lentil( Rabi)</t>
  </si>
  <si>
    <t>(iv) Pea (Rabi)</t>
  </si>
  <si>
    <t>(v) Rajmah (Rabi)</t>
  </si>
  <si>
    <t>(vi) Lathyrus (Rabi)</t>
  </si>
  <si>
    <t>(i) Blackgram (Kharif)+ Summer Rice</t>
  </si>
  <si>
    <t>(ii) Green gram( Kharif)+ Summer Rice</t>
  </si>
  <si>
    <t>(iii) Lentil( Rabi)+Summer maize</t>
  </si>
  <si>
    <t>(iv) Pea (Rabi)+Summer maize</t>
  </si>
  <si>
    <t>(i) Blackgram (Kharif+ Summer )</t>
  </si>
  <si>
    <t>(ii) Green gram( Kharif+ summer)</t>
  </si>
  <si>
    <t xml:space="preserve">Assistance for seed production </t>
  </si>
  <si>
    <t>Rs. 300/ ha</t>
  </si>
  <si>
    <t>STATE : ASSAM (4 districts)</t>
  </si>
  <si>
    <t>Demonstration of Improved package</t>
  </si>
  <si>
    <t>Rs 5000/- per ha</t>
  </si>
  <si>
    <t>a)    HYVs Seeds</t>
  </si>
  <si>
    <t>Rs  1500/- per Qtl</t>
  </si>
  <si>
    <t>Qtl</t>
  </si>
  <si>
    <t>b)    Hybrid Seed</t>
  </si>
  <si>
    <t>Rs  5000/- per Qtl</t>
  </si>
  <si>
    <t xml:space="preserve"> Qtl</t>
  </si>
  <si>
    <t>Sub –total 2 (a) &amp; 2(b)</t>
  </si>
  <si>
    <t> Total NFSM Coarse Cereals</t>
  </si>
  <si>
    <t>Grand Total of State</t>
  </si>
  <si>
    <t>NFSM Rice</t>
  </si>
  <si>
    <t>NFSM Pulses</t>
  </si>
  <si>
    <t>NFSM Coarse Cereals</t>
  </si>
  <si>
    <t>TOTAL</t>
  </si>
  <si>
    <t xml:space="preserve"> ANNUAL ACTION PLAN  NFSM - RICE , 2017-18
(under 90:10 Sharing pattern)</t>
  </si>
  <si>
    <t xml:space="preserve"> ANNUAL ACTION PLAN  NFSM - PULSE , 2017-18
(under 90:10 Sharing pattern)</t>
  </si>
  <si>
    <t xml:space="preserve">Local  initiatives </t>
  </si>
  <si>
    <t>Nos</t>
  </si>
  <si>
    <r>
      <rPr>
        <b/>
        <sz val="12"/>
        <color indexed="8"/>
        <rFont val="Shonar Bangla"/>
        <family val="2"/>
      </rPr>
      <t>Distribution of Certified Seeds:</t>
    </r>
    <r>
      <rPr>
        <sz val="12"/>
        <color indexed="8"/>
        <rFont val="Shonar Bangla"/>
        <family val="2"/>
      </rPr>
      <t xml:space="preserve">
HYV Seeds</t>
    </r>
  </si>
  <si>
    <r>
      <rPr>
        <b/>
        <sz val="12"/>
        <color indexed="8"/>
        <rFont val="Shonar Bangla"/>
        <family val="2"/>
      </rPr>
      <t>Cropping System based trainings</t>
    </r>
    <r>
      <rPr>
        <sz val="12"/>
        <color indexed="8"/>
        <rFont val="Shonar Bangla"/>
        <family val="2"/>
      </rPr>
      <t>( Four Sessions i.e. one  before Kharif, and rabi seasons, one each during Kharif and Rabi Crops)</t>
    </r>
  </si>
  <si>
    <t>a. Minikit (Blackgram - PU-31)</t>
  </si>
  <si>
    <t xml:space="preserve">b.  Soil Enriher &amp; Growth enhencher </t>
  </si>
  <si>
    <t>Sub total 8(a) and 8(b)</t>
  </si>
  <si>
    <t>Sub total9(a) and 9(b)</t>
  </si>
  <si>
    <t>Sub Total3 (i)&amp; 3(ii)</t>
  </si>
  <si>
    <t>Sub Total 2(i) to 2(vi)</t>
  </si>
  <si>
    <t>Joint  Director of Agriculture (Mkt)</t>
  </si>
  <si>
    <t>State Nodal Officer, NFSM</t>
  </si>
  <si>
    <t>Director of Agriculture, Assam</t>
  </si>
  <si>
    <t>Central share</t>
  </si>
  <si>
    <t xml:space="preserve">State share </t>
  </si>
  <si>
    <t xml:space="preserve">Target Proposed by State </t>
  </si>
  <si>
    <t xml:space="preserve">
(Central Share)</t>
  </si>
  <si>
    <t xml:space="preserve">
(State Share)</t>
  </si>
  <si>
    <t>Target by GOI</t>
  </si>
  <si>
    <t xml:space="preserve"> Target Proposed by
State</t>
  </si>
  <si>
    <t>ANNUAL ACTION PLAN  NFSM - COARSE CEREAL (Maize), 2017-18
(under 90:10 Sharing pattern)</t>
  </si>
  <si>
    <t>c. Distribution of Dhancha seeds</t>
  </si>
  <si>
    <t>B. Minikit (Green gram -IPM-2-3)</t>
  </si>
  <si>
    <t xml:space="preserve">c.  </t>
  </si>
  <si>
    <t xml:space="preserve">qtl. </t>
  </si>
  <si>
    <t>a.Establishment of Seed processing Plant</t>
  </si>
  <si>
    <t>50% of project cost or maximum limit of 45.00 per unit.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</si>
</sst>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Shonar Bangla"/>
      <family val="2"/>
    </font>
    <font>
      <b/>
      <sz val="10"/>
      <color theme="1"/>
      <name val="Shonar Bangla"/>
      <family val="2"/>
    </font>
    <font>
      <sz val="12"/>
      <color rgb="FF000000"/>
      <name val="Shonar Bangla"/>
      <family val="2"/>
    </font>
    <font>
      <sz val="12"/>
      <color theme="1"/>
      <name val="Shonar Bangla"/>
      <family val="2"/>
    </font>
    <font>
      <b/>
      <sz val="12"/>
      <color rgb="FF000000"/>
      <name val="Shonar Bangla"/>
      <family val="2"/>
    </font>
    <font>
      <b/>
      <sz val="12"/>
      <color indexed="8"/>
      <name val="Shonar Bangla"/>
      <family val="2"/>
    </font>
    <font>
      <sz val="12"/>
      <color indexed="8"/>
      <name val="Shonar Bangla"/>
      <family val="2"/>
    </font>
    <font>
      <i/>
      <sz val="12"/>
      <color rgb="FF000000"/>
      <name val="Shonar Bangla"/>
      <family val="2"/>
    </font>
    <font>
      <i/>
      <sz val="12"/>
      <color theme="1"/>
      <name val="Shonar Bangl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top" wrapText="1"/>
    </xf>
    <xf numFmtId="0" fontId="4" fillId="0" borderId="0" xfId="0" applyFont="1"/>
    <xf numFmtId="164" fontId="3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/>
    <xf numFmtId="0" fontId="5" fillId="0" borderId="0" xfId="0" applyFont="1"/>
    <xf numFmtId="0" fontId="5" fillId="0" borderId="0" xfId="0" applyFont="1" applyAlignment="1">
      <alignment horizontal="right"/>
    </xf>
    <xf numFmtId="164" fontId="5" fillId="0" borderId="0" xfId="0" applyNumberFormat="1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right" vertical="top"/>
    </xf>
    <xf numFmtId="0" fontId="5" fillId="0" borderId="1" xfId="0" applyFont="1" applyBorder="1"/>
    <xf numFmtId="0" fontId="4" fillId="0" borderId="1" xfId="0" applyFont="1" applyBorder="1" applyAlignment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indent="1"/>
    </xf>
    <xf numFmtId="164" fontId="4" fillId="0" borderId="1" xfId="0" applyNumberFormat="1" applyFont="1" applyBorder="1" applyAlignment="1">
      <alignment horizontal="right"/>
    </xf>
    <xf numFmtId="0" fontId="5" fillId="0" borderId="0" xfId="0" applyFont="1" applyBorder="1"/>
    <xf numFmtId="0" fontId="4" fillId="0" borderId="0" xfId="0" applyFont="1" applyBorder="1" applyAlignment="1"/>
    <xf numFmtId="0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 indent="2"/>
    </xf>
    <xf numFmtId="0" fontId="6" fillId="0" borderId="1" xfId="0" applyFont="1" applyBorder="1" applyAlignment="1">
      <alignment horizontal="left" vertical="top" wrapText="1" indent="2"/>
    </xf>
    <xf numFmtId="0" fontId="6" fillId="0" borderId="1" xfId="0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right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1" fontId="6" fillId="0" borderId="1" xfId="0" applyNumberFormat="1" applyFont="1" applyFill="1" applyBorder="1" applyAlignment="1">
      <alignment horizontal="right" vertical="top" wrapText="1"/>
    </xf>
    <xf numFmtId="0" fontId="5" fillId="0" borderId="0" xfId="0" applyFont="1" applyFill="1"/>
    <xf numFmtId="0" fontId="6" fillId="0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vertical="top" wrapText="1"/>
    </xf>
    <xf numFmtId="1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" fontId="6" fillId="0" borderId="1" xfId="0" applyNumberFormat="1" applyFont="1" applyBorder="1" applyAlignment="1">
      <alignment horizontal="right" vertical="top" wrapText="1"/>
    </xf>
    <xf numFmtId="164" fontId="4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1" fontId="3" fillId="0" borderId="1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164" fontId="9" fillId="0" borderId="1" xfId="0" applyNumberFormat="1" applyFont="1" applyBorder="1" applyAlignment="1">
      <alignment vertical="top"/>
    </xf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horizontal="left" vertical="top" wrapText="1" indent="1"/>
    </xf>
    <xf numFmtId="0" fontId="10" fillId="0" borderId="1" xfId="0" applyFont="1" applyBorder="1" applyAlignment="1">
      <alignment horizontal="left" vertical="top" wrapText="1" indent="2"/>
    </xf>
    <xf numFmtId="164" fontId="10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164" fontId="12" fillId="0" borderId="1" xfId="0" applyNumberFormat="1" applyFont="1" applyBorder="1" applyAlignment="1">
      <alignment horizontal="right" vertical="top" wrapText="1"/>
    </xf>
    <xf numFmtId="1" fontId="12" fillId="0" borderId="1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/>
    </xf>
    <xf numFmtId="164" fontId="11" fillId="0" borderId="1" xfId="0" applyNumberFormat="1" applyFont="1" applyBorder="1" applyAlignment="1">
      <alignment vertical="top" wrapText="1"/>
    </xf>
    <xf numFmtId="0" fontId="12" fillId="0" borderId="5" xfId="0" applyFont="1" applyBorder="1" applyAlignment="1">
      <alignment vertical="top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164" fontId="15" fillId="0" borderId="1" xfId="0" applyNumberFormat="1" applyFont="1" applyBorder="1" applyAlignment="1">
      <alignment horizontal="right" vertical="top" wrapText="1"/>
    </xf>
    <xf numFmtId="0" fontId="16" fillId="0" borderId="0" xfId="0" applyFont="1"/>
    <xf numFmtId="0" fontId="12" fillId="0" borderId="6" xfId="0" applyFont="1" applyBorder="1" applyAlignment="1">
      <alignment vertical="top"/>
    </xf>
    <xf numFmtId="0" fontId="12" fillId="0" borderId="5" xfId="0" applyFont="1" applyBorder="1" applyAlignment="1">
      <alignment horizontal="center" vertical="top"/>
    </xf>
    <xf numFmtId="0" fontId="11" fillId="0" borderId="1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164" fontId="12" fillId="0" borderId="1" xfId="0" applyNumberFormat="1" applyFont="1" applyBorder="1" applyAlignment="1">
      <alignment horizontal="right" vertical="top"/>
    </xf>
    <xf numFmtId="0" fontId="12" fillId="0" borderId="6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1" fontId="12" fillId="0" borderId="1" xfId="0" applyNumberFormat="1" applyFont="1" applyBorder="1" applyAlignment="1">
      <alignment horizontal="right" vertical="top" wrapText="1"/>
    </xf>
    <xf numFmtId="164" fontId="10" fillId="0" borderId="1" xfId="0" applyNumberFormat="1" applyFont="1" applyBorder="1" applyAlignment="1">
      <alignment horizontal="right" vertical="top"/>
    </xf>
    <xf numFmtId="0" fontId="13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164" fontId="8" fillId="0" borderId="1" xfId="0" applyNumberFormat="1" applyFont="1" applyBorder="1" applyAlignment="1">
      <alignment vertical="top"/>
    </xf>
    <xf numFmtId="0" fontId="14" fillId="0" borderId="1" xfId="0" applyFont="1" applyBorder="1" applyAlignment="1">
      <alignment horizontal="left" vertical="top" wrapText="1"/>
    </xf>
    <xf numFmtId="164" fontId="10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vertical="top"/>
    </xf>
    <xf numFmtId="164" fontId="12" fillId="0" borderId="1" xfId="0" applyNumberFormat="1" applyFont="1" applyBorder="1" applyAlignment="1">
      <alignment vertical="top"/>
    </xf>
    <xf numFmtId="0" fontId="11" fillId="0" borderId="0" xfId="0" applyFont="1" applyAlignment="1">
      <alignment horizontal="center"/>
    </xf>
    <xf numFmtId="164" fontId="11" fillId="0" borderId="0" xfId="0" applyNumberFormat="1" applyFont="1"/>
    <xf numFmtId="164" fontId="11" fillId="0" borderId="0" xfId="0" applyNumberFormat="1" applyFont="1" applyAlignment="1">
      <alignment horizontal="center"/>
    </xf>
    <xf numFmtId="0" fontId="11" fillId="0" borderId="0" xfId="0" applyFont="1" applyAlignment="1"/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right"/>
    </xf>
    <xf numFmtId="0" fontId="11" fillId="0" borderId="0" xfId="0" applyFont="1" applyAlignment="1">
      <alignment wrapText="1"/>
    </xf>
    <xf numFmtId="2" fontId="8" fillId="0" borderId="1" xfId="0" applyNumberFormat="1" applyFont="1" applyBorder="1" applyAlignment="1">
      <alignment vertical="top"/>
    </xf>
    <xf numFmtId="1" fontId="4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right"/>
    </xf>
    <xf numFmtId="1" fontId="4" fillId="0" borderId="1" xfId="0" applyNumberFormat="1" applyFont="1" applyBorder="1" applyAlignment="1">
      <alignment horizontal="right" vertical="center" wrapText="1"/>
    </xf>
    <xf numFmtId="1" fontId="8" fillId="0" borderId="1" xfId="0" applyNumberFormat="1" applyFont="1" applyBorder="1" applyAlignment="1">
      <alignment vertical="top"/>
    </xf>
    <xf numFmtId="1" fontId="9" fillId="0" borderId="1" xfId="0" applyNumberFormat="1" applyFont="1" applyBorder="1" applyAlignment="1">
      <alignment vertical="top"/>
    </xf>
    <xf numFmtId="164" fontId="12" fillId="0" borderId="1" xfId="0" applyNumberFormat="1" applyFont="1" applyBorder="1" applyAlignment="1">
      <alignment horizontal="center" vertical="top"/>
    </xf>
    <xf numFmtId="164" fontId="12" fillId="0" borderId="1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0" fillId="0" borderId="1" xfId="0" applyBorder="1"/>
    <xf numFmtId="0" fontId="12" fillId="0" borderId="2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60" zoomScaleNormal="100" workbookViewId="0">
      <selection activeCell="M6" sqref="M6"/>
    </sheetView>
  </sheetViews>
  <sheetFormatPr defaultRowHeight="12.75"/>
  <cols>
    <col min="1" max="1" width="4.42578125" style="9" customWidth="1"/>
    <col min="2" max="2" width="27.42578125" style="8" customWidth="1"/>
    <col min="3" max="3" width="16.5703125" style="9" customWidth="1"/>
    <col min="4" max="4" width="7.140625" style="9" customWidth="1"/>
    <col min="5" max="5" width="12.140625" style="48" customWidth="1"/>
    <col min="6" max="6" width="10" style="48" customWidth="1"/>
    <col min="7" max="7" width="10.28515625" style="12" customWidth="1"/>
    <col min="8" max="8" width="11.140625" style="48" customWidth="1"/>
    <col min="9" max="9" width="9.85546875" style="12" customWidth="1"/>
    <col min="10" max="10" width="13.28515625" style="48" bestFit="1" customWidth="1"/>
    <col min="11" max="252" width="9.140625" style="9"/>
    <col min="253" max="253" width="4.42578125" style="9" customWidth="1"/>
    <col min="254" max="254" width="27.42578125" style="9" customWidth="1"/>
    <col min="255" max="255" width="16.5703125" style="9" customWidth="1"/>
    <col min="256" max="256" width="7.140625" style="9" customWidth="1"/>
    <col min="257" max="257" width="10" style="9" customWidth="1"/>
    <col min="258" max="258" width="11.7109375" style="9" customWidth="1"/>
    <col min="259" max="259" width="12.140625" style="9" customWidth="1"/>
    <col min="260" max="260" width="10" style="9" customWidth="1"/>
    <col min="261" max="261" width="10.28515625" style="9" customWidth="1"/>
    <col min="262" max="262" width="11.140625" style="9" customWidth="1"/>
    <col min="263" max="263" width="9.85546875" style="9" customWidth="1"/>
    <col min="264" max="264" width="8.5703125" style="9" bestFit="1" customWidth="1"/>
    <col min="265" max="508" width="9.140625" style="9"/>
    <col min="509" max="509" width="4.42578125" style="9" customWidth="1"/>
    <col min="510" max="510" width="27.42578125" style="9" customWidth="1"/>
    <col min="511" max="511" width="16.5703125" style="9" customWidth="1"/>
    <col min="512" max="512" width="7.140625" style="9" customWidth="1"/>
    <col min="513" max="513" width="10" style="9" customWidth="1"/>
    <col min="514" max="514" width="11.7109375" style="9" customWidth="1"/>
    <col min="515" max="515" width="12.140625" style="9" customWidth="1"/>
    <col min="516" max="516" width="10" style="9" customWidth="1"/>
    <col min="517" max="517" width="10.28515625" style="9" customWidth="1"/>
    <col min="518" max="518" width="11.140625" style="9" customWidth="1"/>
    <col min="519" max="519" width="9.85546875" style="9" customWidth="1"/>
    <col min="520" max="520" width="8.5703125" style="9" bestFit="1" customWidth="1"/>
    <col min="521" max="764" width="9.140625" style="9"/>
    <col min="765" max="765" width="4.42578125" style="9" customWidth="1"/>
    <col min="766" max="766" width="27.42578125" style="9" customWidth="1"/>
    <col min="767" max="767" width="16.5703125" style="9" customWidth="1"/>
    <col min="768" max="768" width="7.140625" style="9" customWidth="1"/>
    <col min="769" max="769" width="10" style="9" customWidth="1"/>
    <col min="770" max="770" width="11.7109375" style="9" customWidth="1"/>
    <col min="771" max="771" width="12.140625" style="9" customWidth="1"/>
    <col min="772" max="772" width="10" style="9" customWidth="1"/>
    <col min="773" max="773" width="10.28515625" style="9" customWidth="1"/>
    <col min="774" max="774" width="11.140625" style="9" customWidth="1"/>
    <col min="775" max="775" width="9.85546875" style="9" customWidth="1"/>
    <col min="776" max="776" width="8.5703125" style="9" bestFit="1" customWidth="1"/>
    <col min="777" max="1020" width="9.140625" style="9"/>
    <col min="1021" max="1021" width="4.42578125" style="9" customWidth="1"/>
    <col min="1022" max="1022" width="27.42578125" style="9" customWidth="1"/>
    <col min="1023" max="1023" width="16.5703125" style="9" customWidth="1"/>
    <col min="1024" max="1024" width="7.140625" style="9" customWidth="1"/>
    <col min="1025" max="1025" width="10" style="9" customWidth="1"/>
    <col min="1026" max="1026" width="11.7109375" style="9" customWidth="1"/>
    <col min="1027" max="1027" width="12.140625" style="9" customWidth="1"/>
    <col min="1028" max="1028" width="10" style="9" customWidth="1"/>
    <col min="1029" max="1029" width="10.28515625" style="9" customWidth="1"/>
    <col min="1030" max="1030" width="11.140625" style="9" customWidth="1"/>
    <col min="1031" max="1031" width="9.85546875" style="9" customWidth="1"/>
    <col min="1032" max="1032" width="8.5703125" style="9" bestFit="1" customWidth="1"/>
    <col min="1033" max="1276" width="9.140625" style="9"/>
    <col min="1277" max="1277" width="4.42578125" style="9" customWidth="1"/>
    <col min="1278" max="1278" width="27.42578125" style="9" customWidth="1"/>
    <col min="1279" max="1279" width="16.5703125" style="9" customWidth="1"/>
    <col min="1280" max="1280" width="7.140625" style="9" customWidth="1"/>
    <col min="1281" max="1281" width="10" style="9" customWidth="1"/>
    <col min="1282" max="1282" width="11.7109375" style="9" customWidth="1"/>
    <col min="1283" max="1283" width="12.140625" style="9" customWidth="1"/>
    <col min="1284" max="1284" width="10" style="9" customWidth="1"/>
    <col min="1285" max="1285" width="10.28515625" style="9" customWidth="1"/>
    <col min="1286" max="1286" width="11.140625" style="9" customWidth="1"/>
    <col min="1287" max="1287" width="9.85546875" style="9" customWidth="1"/>
    <col min="1288" max="1288" width="8.5703125" style="9" bestFit="1" customWidth="1"/>
    <col min="1289" max="1532" width="9.140625" style="9"/>
    <col min="1533" max="1533" width="4.42578125" style="9" customWidth="1"/>
    <col min="1534" max="1534" width="27.42578125" style="9" customWidth="1"/>
    <col min="1535" max="1535" width="16.5703125" style="9" customWidth="1"/>
    <col min="1536" max="1536" width="7.140625" style="9" customWidth="1"/>
    <col min="1537" max="1537" width="10" style="9" customWidth="1"/>
    <col min="1538" max="1538" width="11.7109375" style="9" customWidth="1"/>
    <col min="1539" max="1539" width="12.140625" style="9" customWidth="1"/>
    <col min="1540" max="1540" width="10" style="9" customWidth="1"/>
    <col min="1541" max="1541" width="10.28515625" style="9" customWidth="1"/>
    <col min="1542" max="1542" width="11.140625" style="9" customWidth="1"/>
    <col min="1543" max="1543" width="9.85546875" style="9" customWidth="1"/>
    <col min="1544" max="1544" width="8.5703125" style="9" bestFit="1" customWidth="1"/>
    <col min="1545" max="1788" width="9.140625" style="9"/>
    <col min="1789" max="1789" width="4.42578125" style="9" customWidth="1"/>
    <col min="1790" max="1790" width="27.42578125" style="9" customWidth="1"/>
    <col min="1791" max="1791" width="16.5703125" style="9" customWidth="1"/>
    <col min="1792" max="1792" width="7.140625" style="9" customWidth="1"/>
    <col min="1793" max="1793" width="10" style="9" customWidth="1"/>
    <col min="1794" max="1794" width="11.7109375" style="9" customWidth="1"/>
    <col min="1795" max="1795" width="12.140625" style="9" customWidth="1"/>
    <col min="1796" max="1796" width="10" style="9" customWidth="1"/>
    <col min="1797" max="1797" width="10.28515625" style="9" customWidth="1"/>
    <col min="1798" max="1798" width="11.140625" style="9" customWidth="1"/>
    <col min="1799" max="1799" width="9.85546875" style="9" customWidth="1"/>
    <col min="1800" max="1800" width="8.5703125" style="9" bestFit="1" customWidth="1"/>
    <col min="1801" max="2044" width="9.140625" style="9"/>
    <col min="2045" max="2045" width="4.42578125" style="9" customWidth="1"/>
    <col min="2046" max="2046" width="27.42578125" style="9" customWidth="1"/>
    <col min="2047" max="2047" width="16.5703125" style="9" customWidth="1"/>
    <col min="2048" max="2048" width="7.140625" style="9" customWidth="1"/>
    <col min="2049" max="2049" width="10" style="9" customWidth="1"/>
    <col min="2050" max="2050" width="11.7109375" style="9" customWidth="1"/>
    <col min="2051" max="2051" width="12.140625" style="9" customWidth="1"/>
    <col min="2052" max="2052" width="10" style="9" customWidth="1"/>
    <col min="2053" max="2053" width="10.28515625" style="9" customWidth="1"/>
    <col min="2054" max="2054" width="11.140625" style="9" customWidth="1"/>
    <col min="2055" max="2055" width="9.85546875" style="9" customWidth="1"/>
    <col min="2056" max="2056" width="8.5703125" style="9" bestFit="1" customWidth="1"/>
    <col min="2057" max="2300" width="9.140625" style="9"/>
    <col min="2301" max="2301" width="4.42578125" style="9" customWidth="1"/>
    <col min="2302" max="2302" width="27.42578125" style="9" customWidth="1"/>
    <col min="2303" max="2303" width="16.5703125" style="9" customWidth="1"/>
    <col min="2304" max="2304" width="7.140625" style="9" customWidth="1"/>
    <col min="2305" max="2305" width="10" style="9" customWidth="1"/>
    <col min="2306" max="2306" width="11.7109375" style="9" customWidth="1"/>
    <col min="2307" max="2307" width="12.140625" style="9" customWidth="1"/>
    <col min="2308" max="2308" width="10" style="9" customWidth="1"/>
    <col min="2309" max="2309" width="10.28515625" style="9" customWidth="1"/>
    <col min="2310" max="2310" width="11.140625" style="9" customWidth="1"/>
    <col min="2311" max="2311" width="9.85546875" style="9" customWidth="1"/>
    <col min="2312" max="2312" width="8.5703125" style="9" bestFit="1" customWidth="1"/>
    <col min="2313" max="2556" width="9.140625" style="9"/>
    <col min="2557" max="2557" width="4.42578125" style="9" customWidth="1"/>
    <col min="2558" max="2558" width="27.42578125" style="9" customWidth="1"/>
    <col min="2559" max="2559" width="16.5703125" style="9" customWidth="1"/>
    <col min="2560" max="2560" width="7.140625" style="9" customWidth="1"/>
    <col min="2561" max="2561" width="10" style="9" customWidth="1"/>
    <col min="2562" max="2562" width="11.7109375" style="9" customWidth="1"/>
    <col min="2563" max="2563" width="12.140625" style="9" customWidth="1"/>
    <col min="2564" max="2564" width="10" style="9" customWidth="1"/>
    <col min="2565" max="2565" width="10.28515625" style="9" customWidth="1"/>
    <col min="2566" max="2566" width="11.140625" style="9" customWidth="1"/>
    <col min="2567" max="2567" width="9.85546875" style="9" customWidth="1"/>
    <col min="2568" max="2568" width="8.5703125" style="9" bestFit="1" customWidth="1"/>
    <col min="2569" max="2812" width="9.140625" style="9"/>
    <col min="2813" max="2813" width="4.42578125" style="9" customWidth="1"/>
    <col min="2814" max="2814" width="27.42578125" style="9" customWidth="1"/>
    <col min="2815" max="2815" width="16.5703125" style="9" customWidth="1"/>
    <col min="2816" max="2816" width="7.140625" style="9" customWidth="1"/>
    <col min="2817" max="2817" width="10" style="9" customWidth="1"/>
    <col min="2818" max="2818" width="11.7109375" style="9" customWidth="1"/>
    <col min="2819" max="2819" width="12.140625" style="9" customWidth="1"/>
    <col min="2820" max="2820" width="10" style="9" customWidth="1"/>
    <col min="2821" max="2821" width="10.28515625" style="9" customWidth="1"/>
    <col min="2822" max="2822" width="11.140625" style="9" customWidth="1"/>
    <col min="2823" max="2823" width="9.85546875" style="9" customWidth="1"/>
    <col min="2824" max="2824" width="8.5703125" style="9" bestFit="1" customWidth="1"/>
    <col min="2825" max="3068" width="9.140625" style="9"/>
    <col min="3069" max="3069" width="4.42578125" style="9" customWidth="1"/>
    <col min="3070" max="3070" width="27.42578125" style="9" customWidth="1"/>
    <col min="3071" max="3071" width="16.5703125" style="9" customWidth="1"/>
    <col min="3072" max="3072" width="7.140625" style="9" customWidth="1"/>
    <col min="3073" max="3073" width="10" style="9" customWidth="1"/>
    <col min="3074" max="3074" width="11.7109375" style="9" customWidth="1"/>
    <col min="3075" max="3075" width="12.140625" style="9" customWidth="1"/>
    <col min="3076" max="3076" width="10" style="9" customWidth="1"/>
    <col min="3077" max="3077" width="10.28515625" style="9" customWidth="1"/>
    <col min="3078" max="3078" width="11.140625" style="9" customWidth="1"/>
    <col min="3079" max="3079" width="9.85546875" style="9" customWidth="1"/>
    <col min="3080" max="3080" width="8.5703125" style="9" bestFit="1" customWidth="1"/>
    <col min="3081" max="3324" width="9.140625" style="9"/>
    <col min="3325" max="3325" width="4.42578125" style="9" customWidth="1"/>
    <col min="3326" max="3326" width="27.42578125" style="9" customWidth="1"/>
    <col min="3327" max="3327" width="16.5703125" style="9" customWidth="1"/>
    <col min="3328" max="3328" width="7.140625" style="9" customWidth="1"/>
    <col min="3329" max="3329" width="10" style="9" customWidth="1"/>
    <col min="3330" max="3330" width="11.7109375" style="9" customWidth="1"/>
    <col min="3331" max="3331" width="12.140625" style="9" customWidth="1"/>
    <col min="3332" max="3332" width="10" style="9" customWidth="1"/>
    <col min="3333" max="3333" width="10.28515625" style="9" customWidth="1"/>
    <col min="3334" max="3334" width="11.140625" style="9" customWidth="1"/>
    <col min="3335" max="3335" width="9.85546875" style="9" customWidth="1"/>
    <col min="3336" max="3336" width="8.5703125" style="9" bestFit="1" customWidth="1"/>
    <col min="3337" max="3580" width="9.140625" style="9"/>
    <col min="3581" max="3581" width="4.42578125" style="9" customWidth="1"/>
    <col min="3582" max="3582" width="27.42578125" style="9" customWidth="1"/>
    <col min="3583" max="3583" width="16.5703125" style="9" customWidth="1"/>
    <col min="3584" max="3584" width="7.140625" style="9" customWidth="1"/>
    <col min="3585" max="3585" width="10" style="9" customWidth="1"/>
    <col min="3586" max="3586" width="11.7109375" style="9" customWidth="1"/>
    <col min="3587" max="3587" width="12.140625" style="9" customWidth="1"/>
    <col min="3588" max="3588" width="10" style="9" customWidth="1"/>
    <col min="3589" max="3589" width="10.28515625" style="9" customWidth="1"/>
    <col min="3590" max="3590" width="11.140625" style="9" customWidth="1"/>
    <col min="3591" max="3591" width="9.85546875" style="9" customWidth="1"/>
    <col min="3592" max="3592" width="8.5703125" style="9" bestFit="1" customWidth="1"/>
    <col min="3593" max="3836" width="9.140625" style="9"/>
    <col min="3837" max="3837" width="4.42578125" style="9" customWidth="1"/>
    <col min="3838" max="3838" width="27.42578125" style="9" customWidth="1"/>
    <col min="3839" max="3839" width="16.5703125" style="9" customWidth="1"/>
    <col min="3840" max="3840" width="7.140625" style="9" customWidth="1"/>
    <col min="3841" max="3841" width="10" style="9" customWidth="1"/>
    <col min="3842" max="3842" width="11.7109375" style="9" customWidth="1"/>
    <col min="3843" max="3843" width="12.140625" style="9" customWidth="1"/>
    <col min="3844" max="3844" width="10" style="9" customWidth="1"/>
    <col min="3845" max="3845" width="10.28515625" style="9" customWidth="1"/>
    <col min="3846" max="3846" width="11.140625" style="9" customWidth="1"/>
    <col min="3847" max="3847" width="9.85546875" style="9" customWidth="1"/>
    <col min="3848" max="3848" width="8.5703125" style="9" bestFit="1" customWidth="1"/>
    <col min="3849" max="4092" width="9.140625" style="9"/>
    <col min="4093" max="4093" width="4.42578125" style="9" customWidth="1"/>
    <col min="4094" max="4094" width="27.42578125" style="9" customWidth="1"/>
    <col min="4095" max="4095" width="16.5703125" style="9" customWidth="1"/>
    <col min="4096" max="4096" width="7.140625" style="9" customWidth="1"/>
    <col min="4097" max="4097" width="10" style="9" customWidth="1"/>
    <col min="4098" max="4098" width="11.7109375" style="9" customWidth="1"/>
    <col min="4099" max="4099" width="12.140625" style="9" customWidth="1"/>
    <col min="4100" max="4100" width="10" style="9" customWidth="1"/>
    <col min="4101" max="4101" width="10.28515625" style="9" customWidth="1"/>
    <col min="4102" max="4102" width="11.140625" style="9" customWidth="1"/>
    <col min="4103" max="4103" width="9.85546875" style="9" customWidth="1"/>
    <col min="4104" max="4104" width="8.5703125" style="9" bestFit="1" customWidth="1"/>
    <col min="4105" max="4348" width="9.140625" style="9"/>
    <col min="4349" max="4349" width="4.42578125" style="9" customWidth="1"/>
    <col min="4350" max="4350" width="27.42578125" style="9" customWidth="1"/>
    <col min="4351" max="4351" width="16.5703125" style="9" customWidth="1"/>
    <col min="4352" max="4352" width="7.140625" style="9" customWidth="1"/>
    <col min="4353" max="4353" width="10" style="9" customWidth="1"/>
    <col min="4354" max="4354" width="11.7109375" style="9" customWidth="1"/>
    <col min="4355" max="4355" width="12.140625" style="9" customWidth="1"/>
    <col min="4356" max="4356" width="10" style="9" customWidth="1"/>
    <col min="4357" max="4357" width="10.28515625" style="9" customWidth="1"/>
    <col min="4358" max="4358" width="11.140625" style="9" customWidth="1"/>
    <col min="4359" max="4359" width="9.85546875" style="9" customWidth="1"/>
    <col min="4360" max="4360" width="8.5703125" style="9" bestFit="1" customWidth="1"/>
    <col min="4361" max="4604" width="9.140625" style="9"/>
    <col min="4605" max="4605" width="4.42578125" style="9" customWidth="1"/>
    <col min="4606" max="4606" width="27.42578125" style="9" customWidth="1"/>
    <col min="4607" max="4607" width="16.5703125" style="9" customWidth="1"/>
    <col min="4608" max="4608" width="7.140625" style="9" customWidth="1"/>
    <col min="4609" max="4609" width="10" style="9" customWidth="1"/>
    <col min="4610" max="4610" width="11.7109375" style="9" customWidth="1"/>
    <col min="4611" max="4611" width="12.140625" style="9" customWidth="1"/>
    <col min="4612" max="4612" width="10" style="9" customWidth="1"/>
    <col min="4613" max="4613" width="10.28515625" style="9" customWidth="1"/>
    <col min="4614" max="4614" width="11.140625" style="9" customWidth="1"/>
    <col min="4615" max="4615" width="9.85546875" style="9" customWidth="1"/>
    <col min="4616" max="4616" width="8.5703125" style="9" bestFit="1" customWidth="1"/>
    <col min="4617" max="4860" width="9.140625" style="9"/>
    <col min="4861" max="4861" width="4.42578125" style="9" customWidth="1"/>
    <col min="4862" max="4862" width="27.42578125" style="9" customWidth="1"/>
    <col min="4863" max="4863" width="16.5703125" style="9" customWidth="1"/>
    <col min="4864" max="4864" width="7.140625" style="9" customWidth="1"/>
    <col min="4865" max="4865" width="10" style="9" customWidth="1"/>
    <col min="4866" max="4866" width="11.7109375" style="9" customWidth="1"/>
    <col min="4867" max="4867" width="12.140625" style="9" customWidth="1"/>
    <col min="4868" max="4868" width="10" style="9" customWidth="1"/>
    <col min="4869" max="4869" width="10.28515625" style="9" customWidth="1"/>
    <col min="4870" max="4870" width="11.140625" style="9" customWidth="1"/>
    <col min="4871" max="4871" width="9.85546875" style="9" customWidth="1"/>
    <col min="4872" max="4872" width="8.5703125" style="9" bestFit="1" customWidth="1"/>
    <col min="4873" max="5116" width="9.140625" style="9"/>
    <col min="5117" max="5117" width="4.42578125" style="9" customWidth="1"/>
    <col min="5118" max="5118" width="27.42578125" style="9" customWidth="1"/>
    <col min="5119" max="5119" width="16.5703125" style="9" customWidth="1"/>
    <col min="5120" max="5120" width="7.140625" style="9" customWidth="1"/>
    <col min="5121" max="5121" width="10" style="9" customWidth="1"/>
    <col min="5122" max="5122" width="11.7109375" style="9" customWidth="1"/>
    <col min="5123" max="5123" width="12.140625" style="9" customWidth="1"/>
    <col min="5124" max="5124" width="10" style="9" customWidth="1"/>
    <col min="5125" max="5125" width="10.28515625" style="9" customWidth="1"/>
    <col min="5126" max="5126" width="11.140625" style="9" customWidth="1"/>
    <col min="5127" max="5127" width="9.85546875" style="9" customWidth="1"/>
    <col min="5128" max="5128" width="8.5703125" style="9" bestFit="1" customWidth="1"/>
    <col min="5129" max="5372" width="9.140625" style="9"/>
    <col min="5373" max="5373" width="4.42578125" style="9" customWidth="1"/>
    <col min="5374" max="5374" width="27.42578125" style="9" customWidth="1"/>
    <col min="5375" max="5375" width="16.5703125" style="9" customWidth="1"/>
    <col min="5376" max="5376" width="7.140625" style="9" customWidth="1"/>
    <col min="5377" max="5377" width="10" style="9" customWidth="1"/>
    <col min="5378" max="5378" width="11.7109375" style="9" customWidth="1"/>
    <col min="5379" max="5379" width="12.140625" style="9" customWidth="1"/>
    <col min="5380" max="5380" width="10" style="9" customWidth="1"/>
    <col min="5381" max="5381" width="10.28515625" style="9" customWidth="1"/>
    <col min="5382" max="5382" width="11.140625" style="9" customWidth="1"/>
    <col min="5383" max="5383" width="9.85546875" style="9" customWidth="1"/>
    <col min="5384" max="5384" width="8.5703125" style="9" bestFit="1" customWidth="1"/>
    <col min="5385" max="5628" width="9.140625" style="9"/>
    <col min="5629" max="5629" width="4.42578125" style="9" customWidth="1"/>
    <col min="5630" max="5630" width="27.42578125" style="9" customWidth="1"/>
    <col min="5631" max="5631" width="16.5703125" style="9" customWidth="1"/>
    <col min="5632" max="5632" width="7.140625" style="9" customWidth="1"/>
    <col min="5633" max="5633" width="10" style="9" customWidth="1"/>
    <col min="5634" max="5634" width="11.7109375" style="9" customWidth="1"/>
    <col min="5635" max="5635" width="12.140625" style="9" customWidth="1"/>
    <col min="5636" max="5636" width="10" style="9" customWidth="1"/>
    <col min="5637" max="5637" width="10.28515625" style="9" customWidth="1"/>
    <col min="5638" max="5638" width="11.140625" style="9" customWidth="1"/>
    <col min="5639" max="5639" width="9.85546875" style="9" customWidth="1"/>
    <col min="5640" max="5640" width="8.5703125" style="9" bestFit="1" customWidth="1"/>
    <col min="5641" max="5884" width="9.140625" style="9"/>
    <col min="5885" max="5885" width="4.42578125" style="9" customWidth="1"/>
    <col min="5886" max="5886" width="27.42578125" style="9" customWidth="1"/>
    <col min="5887" max="5887" width="16.5703125" style="9" customWidth="1"/>
    <col min="5888" max="5888" width="7.140625" style="9" customWidth="1"/>
    <col min="5889" max="5889" width="10" style="9" customWidth="1"/>
    <col min="5890" max="5890" width="11.7109375" style="9" customWidth="1"/>
    <col min="5891" max="5891" width="12.140625" style="9" customWidth="1"/>
    <col min="5892" max="5892" width="10" style="9" customWidth="1"/>
    <col min="5893" max="5893" width="10.28515625" style="9" customWidth="1"/>
    <col min="5894" max="5894" width="11.140625" style="9" customWidth="1"/>
    <col min="5895" max="5895" width="9.85546875" style="9" customWidth="1"/>
    <col min="5896" max="5896" width="8.5703125" style="9" bestFit="1" customWidth="1"/>
    <col min="5897" max="6140" width="9.140625" style="9"/>
    <col min="6141" max="6141" width="4.42578125" style="9" customWidth="1"/>
    <col min="6142" max="6142" width="27.42578125" style="9" customWidth="1"/>
    <col min="6143" max="6143" width="16.5703125" style="9" customWidth="1"/>
    <col min="6144" max="6144" width="7.140625" style="9" customWidth="1"/>
    <col min="6145" max="6145" width="10" style="9" customWidth="1"/>
    <col min="6146" max="6146" width="11.7109375" style="9" customWidth="1"/>
    <col min="6147" max="6147" width="12.140625" style="9" customWidth="1"/>
    <col min="6148" max="6148" width="10" style="9" customWidth="1"/>
    <col min="6149" max="6149" width="10.28515625" style="9" customWidth="1"/>
    <col min="6150" max="6150" width="11.140625" style="9" customWidth="1"/>
    <col min="6151" max="6151" width="9.85546875" style="9" customWidth="1"/>
    <col min="6152" max="6152" width="8.5703125" style="9" bestFit="1" customWidth="1"/>
    <col min="6153" max="6396" width="9.140625" style="9"/>
    <col min="6397" max="6397" width="4.42578125" style="9" customWidth="1"/>
    <col min="6398" max="6398" width="27.42578125" style="9" customWidth="1"/>
    <col min="6399" max="6399" width="16.5703125" style="9" customWidth="1"/>
    <col min="6400" max="6400" width="7.140625" style="9" customWidth="1"/>
    <col min="6401" max="6401" width="10" style="9" customWidth="1"/>
    <col min="6402" max="6402" width="11.7109375" style="9" customWidth="1"/>
    <col min="6403" max="6403" width="12.140625" style="9" customWidth="1"/>
    <col min="6404" max="6404" width="10" style="9" customWidth="1"/>
    <col min="6405" max="6405" width="10.28515625" style="9" customWidth="1"/>
    <col min="6406" max="6406" width="11.140625" style="9" customWidth="1"/>
    <col min="6407" max="6407" width="9.85546875" style="9" customWidth="1"/>
    <col min="6408" max="6408" width="8.5703125" style="9" bestFit="1" customWidth="1"/>
    <col min="6409" max="6652" width="9.140625" style="9"/>
    <col min="6653" max="6653" width="4.42578125" style="9" customWidth="1"/>
    <col min="6654" max="6654" width="27.42578125" style="9" customWidth="1"/>
    <col min="6655" max="6655" width="16.5703125" style="9" customWidth="1"/>
    <col min="6656" max="6656" width="7.140625" style="9" customWidth="1"/>
    <col min="6657" max="6657" width="10" style="9" customWidth="1"/>
    <col min="6658" max="6658" width="11.7109375" style="9" customWidth="1"/>
    <col min="6659" max="6659" width="12.140625" style="9" customWidth="1"/>
    <col min="6660" max="6660" width="10" style="9" customWidth="1"/>
    <col min="6661" max="6661" width="10.28515625" style="9" customWidth="1"/>
    <col min="6662" max="6662" width="11.140625" style="9" customWidth="1"/>
    <col min="6663" max="6663" width="9.85546875" style="9" customWidth="1"/>
    <col min="6664" max="6664" width="8.5703125" style="9" bestFit="1" customWidth="1"/>
    <col min="6665" max="6908" width="9.140625" style="9"/>
    <col min="6909" max="6909" width="4.42578125" style="9" customWidth="1"/>
    <col min="6910" max="6910" width="27.42578125" style="9" customWidth="1"/>
    <col min="6911" max="6911" width="16.5703125" style="9" customWidth="1"/>
    <col min="6912" max="6912" width="7.140625" style="9" customWidth="1"/>
    <col min="6913" max="6913" width="10" style="9" customWidth="1"/>
    <col min="6914" max="6914" width="11.7109375" style="9" customWidth="1"/>
    <col min="6915" max="6915" width="12.140625" style="9" customWidth="1"/>
    <col min="6916" max="6916" width="10" style="9" customWidth="1"/>
    <col min="6917" max="6917" width="10.28515625" style="9" customWidth="1"/>
    <col min="6918" max="6918" width="11.140625" style="9" customWidth="1"/>
    <col min="6919" max="6919" width="9.85546875" style="9" customWidth="1"/>
    <col min="6920" max="6920" width="8.5703125" style="9" bestFit="1" customWidth="1"/>
    <col min="6921" max="7164" width="9.140625" style="9"/>
    <col min="7165" max="7165" width="4.42578125" style="9" customWidth="1"/>
    <col min="7166" max="7166" width="27.42578125" style="9" customWidth="1"/>
    <col min="7167" max="7167" width="16.5703125" style="9" customWidth="1"/>
    <col min="7168" max="7168" width="7.140625" style="9" customWidth="1"/>
    <col min="7169" max="7169" width="10" style="9" customWidth="1"/>
    <col min="7170" max="7170" width="11.7109375" style="9" customWidth="1"/>
    <col min="7171" max="7171" width="12.140625" style="9" customWidth="1"/>
    <col min="7172" max="7172" width="10" style="9" customWidth="1"/>
    <col min="7173" max="7173" width="10.28515625" style="9" customWidth="1"/>
    <col min="7174" max="7174" width="11.140625" style="9" customWidth="1"/>
    <col min="7175" max="7175" width="9.85546875" style="9" customWidth="1"/>
    <col min="7176" max="7176" width="8.5703125" style="9" bestFit="1" customWidth="1"/>
    <col min="7177" max="7420" width="9.140625" style="9"/>
    <col min="7421" max="7421" width="4.42578125" style="9" customWidth="1"/>
    <col min="7422" max="7422" width="27.42578125" style="9" customWidth="1"/>
    <col min="7423" max="7423" width="16.5703125" style="9" customWidth="1"/>
    <col min="7424" max="7424" width="7.140625" style="9" customWidth="1"/>
    <col min="7425" max="7425" width="10" style="9" customWidth="1"/>
    <col min="7426" max="7426" width="11.7109375" style="9" customWidth="1"/>
    <col min="7427" max="7427" width="12.140625" style="9" customWidth="1"/>
    <col min="7428" max="7428" width="10" style="9" customWidth="1"/>
    <col min="7429" max="7429" width="10.28515625" style="9" customWidth="1"/>
    <col min="7430" max="7430" width="11.140625" style="9" customWidth="1"/>
    <col min="7431" max="7431" width="9.85546875" style="9" customWidth="1"/>
    <col min="7432" max="7432" width="8.5703125" style="9" bestFit="1" customWidth="1"/>
    <col min="7433" max="7676" width="9.140625" style="9"/>
    <col min="7677" max="7677" width="4.42578125" style="9" customWidth="1"/>
    <col min="7678" max="7678" width="27.42578125" style="9" customWidth="1"/>
    <col min="7679" max="7679" width="16.5703125" style="9" customWidth="1"/>
    <col min="7680" max="7680" width="7.140625" style="9" customWidth="1"/>
    <col min="7681" max="7681" width="10" style="9" customWidth="1"/>
    <col min="7682" max="7682" width="11.7109375" style="9" customWidth="1"/>
    <col min="7683" max="7683" width="12.140625" style="9" customWidth="1"/>
    <col min="7684" max="7684" width="10" style="9" customWidth="1"/>
    <col min="7685" max="7685" width="10.28515625" style="9" customWidth="1"/>
    <col min="7686" max="7686" width="11.140625" style="9" customWidth="1"/>
    <col min="7687" max="7687" width="9.85546875" style="9" customWidth="1"/>
    <col min="7688" max="7688" width="8.5703125" style="9" bestFit="1" customWidth="1"/>
    <col min="7689" max="7932" width="9.140625" style="9"/>
    <col min="7933" max="7933" width="4.42578125" style="9" customWidth="1"/>
    <col min="7934" max="7934" width="27.42578125" style="9" customWidth="1"/>
    <col min="7935" max="7935" width="16.5703125" style="9" customWidth="1"/>
    <col min="7936" max="7936" width="7.140625" style="9" customWidth="1"/>
    <col min="7937" max="7937" width="10" style="9" customWidth="1"/>
    <col min="7938" max="7938" width="11.7109375" style="9" customWidth="1"/>
    <col min="7939" max="7939" width="12.140625" style="9" customWidth="1"/>
    <col min="7940" max="7940" width="10" style="9" customWidth="1"/>
    <col min="7941" max="7941" width="10.28515625" style="9" customWidth="1"/>
    <col min="7942" max="7942" width="11.140625" style="9" customWidth="1"/>
    <col min="7943" max="7943" width="9.85546875" style="9" customWidth="1"/>
    <col min="7944" max="7944" width="8.5703125" style="9" bestFit="1" customWidth="1"/>
    <col min="7945" max="8188" width="9.140625" style="9"/>
    <col min="8189" max="8189" width="4.42578125" style="9" customWidth="1"/>
    <col min="8190" max="8190" width="27.42578125" style="9" customWidth="1"/>
    <col min="8191" max="8191" width="16.5703125" style="9" customWidth="1"/>
    <col min="8192" max="8192" width="7.140625" style="9" customWidth="1"/>
    <col min="8193" max="8193" width="10" style="9" customWidth="1"/>
    <col min="8194" max="8194" width="11.7109375" style="9" customWidth="1"/>
    <col min="8195" max="8195" width="12.140625" style="9" customWidth="1"/>
    <col min="8196" max="8196" width="10" style="9" customWidth="1"/>
    <col min="8197" max="8197" width="10.28515625" style="9" customWidth="1"/>
    <col min="8198" max="8198" width="11.140625" style="9" customWidth="1"/>
    <col min="8199" max="8199" width="9.85546875" style="9" customWidth="1"/>
    <col min="8200" max="8200" width="8.5703125" style="9" bestFit="1" customWidth="1"/>
    <col min="8201" max="8444" width="9.140625" style="9"/>
    <col min="8445" max="8445" width="4.42578125" style="9" customWidth="1"/>
    <col min="8446" max="8446" width="27.42578125" style="9" customWidth="1"/>
    <col min="8447" max="8447" width="16.5703125" style="9" customWidth="1"/>
    <col min="8448" max="8448" width="7.140625" style="9" customWidth="1"/>
    <col min="8449" max="8449" width="10" style="9" customWidth="1"/>
    <col min="8450" max="8450" width="11.7109375" style="9" customWidth="1"/>
    <col min="8451" max="8451" width="12.140625" style="9" customWidth="1"/>
    <col min="8452" max="8452" width="10" style="9" customWidth="1"/>
    <col min="8453" max="8453" width="10.28515625" style="9" customWidth="1"/>
    <col min="8454" max="8454" width="11.140625" style="9" customWidth="1"/>
    <col min="8455" max="8455" width="9.85546875" style="9" customWidth="1"/>
    <col min="8456" max="8456" width="8.5703125" style="9" bestFit="1" customWidth="1"/>
    <col min="8457" max="8700" width="9.140625" style="9"/>
    <col min="8701" max="8701" width="4.42578125" style="9" customWidth="1"/>
    <col min="8702" max="8702" width="27.42578125" style="9" customWidth="1"/>
    <col min="8703" max="8703" width="16.5703125" style="9" customWidth="1"/>
    <col min="8704" max="8704" width="7.140625" style="9" customWidth="1"/>
    <col min="8705" max="8705" width="10" style="9" customWidth="1"/>
    <col min="8706" max="8706" width="11.7109375" style="9" customWidth="1"/>
    <col min="8707" max="8707" width="12.140625" style="9" customWidth="1"/>
    <col min="8708" max="8708" width="10" style="9" customWidth="1"/>
    <col min="8709" max="8709" width="10.28515625" style="9" customWidth="1"/>
    <col min="8710" max="8710" width="11.140625" style="9" customWidth="1"/>
    <col min="8711" max="8711" width="9.85546875" style="9" customWidth="1"/>
    <col min="8712" max="8712" width="8.5703125" style="9" bestFit="1" customWidth="1"/>
    <col min="8713" max="8956" width="9.140625" style="9"/>
    <col min="8957" max="8957" width="4.42578125" style="9" customWidth="1"/>
    <col min="8958" max="8958" width="27.42578125" style="9" customWidth="1"/>
    <col min="8959" max="8959" width="16.5703125" style="9" customWidth="1"/>
    <col min="8960" max="8960" width="7.140625" style="9" customWidth="1"/>
    <col min="8961" max="8961" width="10" style="9" customWidth="1"/>
    <col min="8962" max="8962" width="11.7109375" style="9" customWidth="1"/>
    <col min="8963" max="8963" width="12.140625" style="9" customWidth="1"/>
    <col min="8964" max="8964" width="10" style="9" customWidth="1"/>
    <col min="8965" max="8965" width="10.28515625" style="9" customWidth="1"/>
    <col min="8966" max="8966" width="11.140625" style="9" customWidth="1"/>
    <col min="8967" max="8967" width="9.85546875" style="9" customWidth="1"/>
    <col min="8968" max="8968" width="8.5703125" style="9" bestFit="1" customWidth="1"/>
    <col min="8969" max="9212" width="9.140625" style="9"/>
    <col min="9213" max="9213" width="4.42578125" style="9" customWidth="1"/>
    <col min="9214" max="9214" width="27.42578125" style="9" customWidth="1"/>
    <col min="9215" max="9215" width="16.5703125" style="9" customWidth="1"/>
    <col min="9216" max="9216" width="7.140625" style="9" customWidth="1"/>
    <col min="9217" max="9217" width="10" style="9" customWidth="1"/>
    <col min="9218" max="9218" width="11.7109375" style="9" customWidth="1"/>
    <col min="9219" max="9219" width="12.140625" style="9" customWidth="1"/>
    <col min="9220" max="9220" width="10" style="9" customWidth="1"/>
    <col min="9221" max="9221" width="10.28515625" style="9" customWidth="1"/>
    <col min="9222" max="9222" width="11.140625" style="9" customWidth="1"/>
    <col min="9223" max="9223" width="9.85546875" style="9" customWidth="1"/>
    <col min="9224" max="9224" width="8.5703125" style="9" bestFit="1" customWidth="1"/>
    <col min="9225" max="9468" width="9.140625" style="9"/>
    <col min="9469" max="9469" width="4.42578125" style="9" customWidth="1"/>
    <col min="9470" max="9470" width="27.42578125" style="9" customWidth="1"/>
    <col min="9471" max="9471" width="16.5703125" style="9" customWidth="1"/>
    <col min="9472" max="9472" width="7.140625" style="9" customWidth="1"/>
    <col min="9473" max="9473" width="10" style="9" customWidth="1"/>
    <col min="9474" max="9474" width="11.7109375" style="9" customWidth="1"/>
    <col min="9475" max="9475" width="12.140625" style="9" customWidth="1"/>
    <col min="9476" max="9476" width="10" style="9" customWidth="1"/>
    <col min="9477" max="9477" width="10.28515625" style="9" customWidth="1"/>
    <col min="9478" max="9478" width="11.140625" style="9" customWidth="1"/>
    <col min="9479" max="9479" width="9.85546875" style="9" customWidth="1"/>
    <col min="9480" max="9480" width="8.5703125" style="9" bestFit="1" customWidth="1"/>
    <col min="9481" max="9724" width="9.140625" style="9"/>
    <col min="9725" max="9725" width="4.42578125" style="9" customWidth="1"/>
    <col min="9726" max="9726" width="27.42578125" style="9" customWidth="1"/>
    <col min="9727" max="9727" width="16.5703125" style="9" customWidth="1"/>
    <col min="9728" max="9728" width="7.140625" style="9" customWidth="1"/>
    <col min="9729" max="9729" width="10" style="9" customWidth="1"/>
    <col min="9730" max="9730" width="11.7109375" style="9" customWidth="1"/>
    <col min="9731" max="9731" width="12.140625" style="9" customWidth="1"/>
    <col min="9732" max="9732" width="10" style="9" customWidth="1"/>
    <col min="9733" max="9733" width="10.28515625" style="9" customWidth="1"/>
    <col min="9734" max="9734" width="11.140625" style="9" customWidth="1"/>
    <col min="9735" max="9735" width="9.85546875" style="9" customWidth="1"/>
    <col min="9736" max="9736" width="8.5703125" style="9" bestFit="1" customWidth="1"/>
    <col min="9737" max="9980" width="9.140625" style="9"/>
    <col min="9981" max="9981" width="4.42578125" style="9" customWidth="1"/>
    <col min="9982" max="9982" width="27.42578125" style="9" customWidth="1"/>
    <col min="9983" max="9983" width="16.5703125" style="9" customWidth="1"/>
    <col min="9984" max="9984" width="7.140625" style="9" customWidth="1"/>
    <col min="9985" max="9985" width="10" style="9" customWidth="1"/>
    <col min="9986" max="9986" width="11.7109375" style="9" customWidth="1"/>
    <col min="9987" max="9987" width="12.140625" style="9" customWidth="1"/>
    <col min="9988" max="9988" width="10" style="9" customWidth="1"/>
    <col min="9989" max="9989" width="10.28515625" style="9" customWidth="1"/>
    <col min="9990" max="9990" width="11.140625" style="9" customWidth="1"/>
    <col min="9991" max="9991" width="9.85546875" style="9" customWidth="1"/>
    <col min="9992" max="9992" width="8.5703125" style="9" bestFit="1" customWidth="1"/>
    <col min="9993" max="10236" width="9.140625" style="9"/>
    <col min="10237" max="10237" width="4.42578125" style="9" customWidth="1"/>
    <col min="10238" max="10238" width="27.42578125" style="9" customWidth="1"/>
    <col min="10239" max="10239" width="16.5703125" style="9" customWidth="1"/>
    <col min="10240" max="10240" width="7.140625" style="9" customWidth="1"/>
    <col min="10241" max="10241" width="10" style="9" customWidth="1"/>
    <col min="10242" max="10242" width="11.7109375" style="9" customWidth="1"/>
    <col min="10243" max="10243" width="12.140625" style="9" customWidth="1"/>
    <col min="10244" max="10244" width="10" style="9" customWidth="1"/>
    <col min="10245" max="10245" width="10.28515625" style="9" customWidth="1"/>
    <col min="10246" max="10246" width="11.140625" style="9" customWidth="1"/>
    <col min="10247" max="10247" width="9.85546875" style="9" customWidth="1"/>
    <col min="10248" max="10248" width="8.5703125" style="9" bestFit="1" customWidth="1"/>
    <col min="10249" max="10492" width="9.140625" style="9"/>
    <col min="10493" max="10493" width="4.42578125" style="9" customWidth="1"/>
    <col min="10494" max="10494" width="27.42578125" style="9" customWidth="1"/>
    <col min="10495" max="10495" width="16.5703125" style="9" customWidth="1"/>
    <col min="10496" max="10496" width="7.140625" style="9" customWidth="1"/>
    <col min="10497" max="10497" width="10" style="9" customWidth="1"/>
    <col min="10498" max="10498" width="11.7109375" style="9" customWidth="1"/>
    <col min="10499" max="10499" width="12.140625" style="9" customWidth="1"/>
    <col min="10500" max="10500" width="10" style="9" customWidth="1"/>
    <col min="10501" max="10501" width="10.28515625" style="9" customWidth="1"/>
    <col min="10502" max="10502" width="11.140625" style="9" customWidth="1"/>
    <col min="10503" max="10503" width="9.85546875" style="9" customWidth="1"/>
    <col min="10504" max="10504" width="8.5703125" style="9" bestFit="1" customWidth="1"/>
    <col min="10505" max="10748" width="9.140625" style="9"/>
    <col min="10749" max="10749" width="4.42578125" style="9" customWidth="1"/>
    <col min="10750" max="10750" width="27.42578125" style="9" customWidth="1"/>
    <col min="10751" max="10751" width="16.5703125" style="9" customWidth="1"/>
    <col min="10752" max="10752" width="7.140625" style="9" customWidth="1"/>
    <col min="10753" max="10753" width="10" style="9" customWidth="1"/>
    <col min="10754" max="10754" width="11.7109375" style="9" customWidth="1"/>
    <col min="10755" max="10755" width="12.140625" style="9" customWidth="1"/>
    <col min="10756" max="10756" width="10" style="9" customWidth="1"/>
    <col min="10757" max="10757" width="10.28515625" style="9" customWidth="1"/>
    <col min="10758" max="10758" width="11.140625" style="9" customWidth="1"/>
    <col min="10759" max="10759" width="9.85546875" style="9" customWidth="1"/>
    <col min="10760" max="10760" width="8.5703125" style="9" bestFit="1" customWidth="1"/>
    <col min="10761" max="11004" width="9.140625" style="9"/>
    <col min="11005" max="11005" width="4.42578125" style="9" customWidth="1"/>
    <col min="11006" max="11006" width="27.42578125" style="9" customWidth="1"/>
    <col min="11007" max="11007" width="16.5703125" style="9" customWidth="1"/>
    <col min="11008" max="11008" width="7.140625" style="9" customWidth="1"/>
    <col min="11009" max="11009" width="10" style="9" customWidth="1"/>
    <col min="11010" max="11010" width="11.7109375" style="9" customWidth="1"/>
    <col min="11011" max="11011" width="12.140625" style="9" customWidth="1"/>
    <col min="11012" max="11012" width="10" style="9" customWidth="1"/>
    <col min="11013" max="11013" width="10.28515625" style="9" customWidth="1"/>
    <col min="11014" max="11014" width="11.140625" style="9" customWidth="1"/>
    <col min="11015" max="11015" width="9.85546875" style="9" customWidth="1"/>
    <col min="11016" max="11016" width="8.5703125" style="9" bestFit="1" customWidth="1"/>
    <col min="11017" max="11260" width="9.140625" style="9"/>
    <col min="11261" max="11261" width="4.42578125" style="9" customWidth="1"/>
    <col min="11262" max="11262" width="27.42578125" style="9" customWidth="1"/>
    <col min="11263" max="11263" width="16.5703125" style="9" customWidth="1"/>
    <col min="11264" max="11264" width="7.140625" style="9" customWidth="1"/>
    <col min="11265" max="11265" width="10" style="9" customWidth="1"/>
    <col min="11266" max="11266" width="11.7109375" style="9" customWidth="1"/>
    <col min="11267" max="11267" width="12.140625" style="9" customWidth="1"/>
    <col min="11268" max="11268" width="10" style="9" customWidth="1"/>
    <col min="11269" max="11269" width="10.28515625" style="9" customWidth="1"/>
    <col min="11270" max="11270" width="11.140625" style="9" customWidth="1"/>
    <col min="11271" max="11271" width="9.85546875" style="9" customWidth="1"/>
    <col min="11272" max="11272" width="8.5703125" style="9" bestFit="1" customWidth="1"/>
    <col min="11273" max="11516" width="9.140625" style="9"/>
    <col min="11517" max="11517" width="4.42578125" style="9" customWidth="1"/>
    <col min="11518" max="11518" width="27.42578125" style="9" customWidth="1"/>
    <col min="11519" max="11519" width="16.5703125" style="9" customWidth="1"/>
    <col min="11520" max="11520" width="7.140625" style="9" customWidth="1"/>
    <col min="11521" max="11521" width="10" style="9" customWidth="1"/>
    <col min="11522" max="11522" width="11.7109375" style="9" customWidth="1"/>
    <col min="11523" max="11523" width="12.140625" style="9" customWidth="1"/>
    <col min="11524" max="11524" width="10" style="9" customWidth="1"/>
    <col min="11525" max="11525" width="10.28515625" style="9" customWidth="1"/>
    <col min="11526" max="11526" width="11.140625" style="9" customWidth="1"/>
    <col min="11527" max="11527" width="9.85546875" style="9" customWidth="1"/>
    <col min="11528" max="11528" width="8.5703125" style="9" bestFit="1" customWidth="1"/>
    <col min="11529" max="11772" width="9.140625" style="9"/>
    <col min="11773" max="11773" width="4.42578125" style="9" customWidth="1"/>
    <col min="11774" max="11774" width="27.42578125" style="9" customWidth="1"/>
    <col min="11775" max="11775" width="16.5703125" style="9" customWidth="1"/>
    <col min="11776" max="11776" width="7.140625" style="9" customWidth="1"/>
    <col min="11777" max="11777" width="10" style="9" customWidth="1"/>
    <col min="11778" max="11778" width="11.7109375" style="9" customWidth="1"/>
    <col min="11779" max="11779" width="12.140625" style="9" customWidth="1"/>
    <col min="11780" max="11780" width="10" style="9" customWidth="1"/>
    <col min="11781" max="11781" width="10.28515625" style="9" customWidth="1"/>
    <col min="11782" max="11782" width="11.140625" style="9" customWidth="1"/>
    <col min="11783" max="11783" width="9.85546875" style="9" customWidth="1"/>
    <col min="11784" max="11784" width="8.5703125" style="9" bestFit="1" customWidth="1"/>
    <col min="11785" max="12028" width="9.140625" style="9"/>
    <col min="12029" max="12029" width="4.42578125" style="9" customWidth="1"/>
    <col min="12030" max="12030" width="27.42578125" style="9" customWidth="1"/>
    <col min="12031" max="12031" width="16.5703125" style="9" customWidth="1"/>
    <col min="12032" max="12032" width="7.140625" style="9" customWidth="1"/>
    <col min="12033" max="12033" width="10" style="9" customWidth="1"/>
    <col min="12034" max="12034" width="11.7109375" style="9" customWidth="1"/>
    <col min="12035" max="12035" width="12.140625" style="9" customWidth="1"/>
    <col min="12036" max="12036" width="10" style="9" customWidth="1"/>
    <col min="12037" max="12037" width="10.28515625" style="9" customWidth="1"/>
    <col min="12038" max="12038" width="11.140625" style="9" customWidth="1"/>
    <col min="12039" max="12039" width="9.85546875" style="9" customWidth="1"/>
    <col min="12040" max="12040" width="8.5703125" style="9" bestFit="1" customWidth="1"/>
    <col min="12041" max="12284" width="9.140625" style="9"/>
    <col min="12285" max="12285" width="4.42578125" style="9" customWidth="1"/>
    <col min="12286" max="12286" width="27.42578125" style="9" customWidth="1"/>
    <col min="12287" max="12287" width="16.5703125" style="9" customWidth="1"/>
    <col min="12288" max="12288" width="7.140625" style="9" customWidth="1"/>
    <col min="12289" max="12289" width="10" style="9" customWidth="1"/>
    <col min="12290" max="12290" width="11.7109375" style="9" customWidth="1"/>
    <col min="12291" max="12291" width="12.140625" style="9" customWidth="1"/>
    <col min="12292" max="12292" width="10" style="9" customWidth="1"/>
    <col min="12293" max="12293" width="10.28515625" style="9" customWidth="1"/>
    <col min="12294" max="12294" width="11.140625" style="9" customWidth="1"/>
    <col min="12295" max="12295" width="9.85546875" style="9" customWidth="1"/>
    <col min="12296" max="12296" width="8.5703125" style="9" bestFit="1" customWidth="1"/>
    <col min="12297" max="12540" width="9.140625" style="9"/>
    <col min="12541" max="12541" width="4.42578125" style="9" customWidth="1"/>
    <col min="12542" max="12542" width="27.42578125" style="9" customWidth="1"/>
    <col min="12543" max="12543" width="16.5703125" style="9" customWidth="1"/>
    <col min="12544" max="12544" width="7.140625" style="9" customWidth="1"/>
    <col min="12545" max="12545" width="10" style="9" customWidth="1"/>
    <col min="12546" max="12546" width="11.7109375" style="9" customWidth="1"/>
    <col min="12547" max="12547" width="12.140625" style="9" customWidth="1"/>
    <col min="12548" max="12548" width="10" style="9" customWidth="1"/>
    <col min="12549" max="12549" width="10.28515625" style="9" customWidth="1"/>
    <col min="12550" max="12550" width="11.140625" style="9" customWidth="1"/>
    <col min="12551" max="12551" width="9.85546875" style="9" customWidth="1"/>
    <col min="12552" max="12552" width="8.5703125" style="9" bestFit="1" customWidth="1"/>
    <col min="12553" max="12796" width="9.140625" style="9"/>
    <col min="12797" max="12797" width="4.42578125" style="9" customWidth="1"/>
    <col min="12798" max="12798" width="27.42578125" style="9" customWidth="1"/>
    <col min="12799" max="12799" width="16.5703125" style="9" customWidth="1"/>
    <col min="12800" max="12800" width="7.140625" style="9" customWidth="1"/>
    <col min="12801" max="12801" width="10" style="9" customWidth="1"/>
    <col min="12802" max="12802" width="11.7109375" style="9" customWidth="1"/>
    <col min="12803" max="12803" width="12.140625" style="9" customWidth="1"/>
    <col min="12804" max="12804" width="10" style="9" customWidth="1"/>
    <col min="12805" max="12805" width="10.28515625" style="9" customWidth="1"/>
    <col min="12806" max="12806" width="11.140625" style="9" customWidth="1"/>
    <col min="12807" max="12807" width="9.85546875" style="9" customWidth="1"/>
    <col min="12808" max="12808" width="8.5703125" style="9" bestFit="1" customWidth="1"/>
    <col min="12809" max="13052" width="9.140625" style="9"/>
    <col min="13053" max="13053" width="4.42578125" style="9" customWidth="1"/>
    <col min="13054" max="13054" width="27.42578125" style="9" customWidth="1"/>
    <col min="13055" max="13055" width="16.5703125" style="9" customWidth="1"/>
    <col min="13056" max="13056" width="7.140625" style="9" customWidth="1"/>
    <col min="13057" max="13057" width="10" style="9" customWidth="1"/>
    <col min="13058" max="13058" width="11.7109375" style="9" customWidth="1"/>
    <col min="13059" max="13059" width="12.140625" style="9" customWidth="1"/>
    <col min="13060" max="13060" width="10" style="9" customWidth="1"/>
    <col min="13061" max="13061" width="10.28515625" style="9" customWidth="1"/>
    <col min="13062" max="13062" width="11.140625" style="9" customWidth="1"/>
    <col min="13063" max="13063" width="9.85546875" style="9" customWidth="1"/>
    <col min="13064" max="13064" width="8.5703125" style="9" bestFit="1" customWidth="1"/>
    <col min="13065" max="13308" width="9.140625" style="9"/>
    <col min="13309" max="13309" width="4.42578125" style="9" customWidth="1"/>
    <col min="13310" max="13310" width="27.42578125" style="9" customWidth="1"/>
    <col min="13311" max="13311" width="16.5703125" style="9" customWidth="1"/>
    <col min="13312" max="13312" width="7.140625" style="9" customWidth="1"/>
    <col min="13313" max="13313" width="10" style="9" customWidth="1"/>
    <col min="13314" max="13314" width="11.7109375" style="9" customWidth="1"/>
    <col min="13315" max="13315" width="12.140625" style="9" customWidth="1"/>
    <col min="13316" max="13316" width="10" style="9" customWidth="1"/>
    <col min="13317" max="13317" width="10.28515625" style="9" customWidth="1"/>
    <col min="13318" max="13318" width="11.140625" style="9" customWidth="1"/>
    <col min="13319" max="13319" width="9.85546875" style="9" customWidth="1"/>
    <col min="13320" max="13320" width="8.5703125" style="9" bestFit="1" customWidth="1"/>
    <col min="13321" max="13564" width="9.140625" style="9"/>
    <col min="13565" max="13565" width="4.42578125" style="9" customWidth="1"/>
    <col min="13566" max="13566" width="27.42578125" style="9" customWidth="1"/>
    <col min="13567" max="13567" width="16.5703125" style="9" customWidth="1"/>
    <col min="13568" max="13568" width="7.140625" style="9" customWidth="1"/>
    <col min="13569" max="13569" width="10" style="9" customWidth="1"/>
    <col min="13570" max="13570" width="11.7109375" style="9" customWidth="1"/>
    <col min="13571" max="13571" width="12.140625" style="9" customWidth="1"/>
    <col min="13572" max="13572" width="10" style="9" customWidth="1"/>
    <col min="13573" max="13573" width="10.28515625" style="9" customWidth="1"/>
    <col min="13574" max="13574" width="11.140625" style="9" customWidth="1"/>
    <col min="13575" max="13575" width="9.85546875" style="9" customWidth="1"/>
    <col min="13576" max="13576" width="8.5703125" style="9" bestFit="1" customWidth="1"/>
    <col min="13577" max="13820" width="9.140625" style="9"/>
    <col min="13821" max="13821" width="4.42578125" style="9" customWidth="1"/>
    <col min="13822" max="13822" width="27.42578125" style="9" customWidth="1"/>
    <col min="13823" max="13823" width="16.5703125" style="9" customWidth="1"/>
    <col min="13824" max="13824" width="7.140625" style="9" customWidth="1"/>
    <col min="13825" max="13825" width="10" style="9" customWidth="1"/>
    <col min="13826" max="13826" width="11.7109375" style="9" customWidth="1"/>
    <col min="13827" max="13827" width="12.140625" style="9" customWidth="1"/>
    <col min="13828" max="13828" width="10" style="9" customWidth="1"/>
    <col min="13829" max="13829" width="10.28515625" style="9" customWidth="1"/>
    <col min="13830" max="13830" width="11.140625" style="9" customWidth="1"/>
    <col min="13831" max="13831" width="9.85546875" style="9" customWidth="1"/>
    <col min="13832" max="13832" width="8.5703125" style="9" bestFit="1" customWidth="1"/>
    <col min="13833" max="14076" width="9.140625" style="9"/>
    <col min="14077" max="14077" width="4.42578125" style="9" customWidth="1"/>
    <col min="14078" max="14078" width="27.42578125" style="9" customWidth="1"/>
    <col min="14079" max="14079" width="16.5703125" style="9" customWidth="1"/>
    <col min="14080" max="14080" width="7.140625" style="9" customWidth="1"/>
    <col min="14081" max="14081" width="10" style="9" customWidth="1"/>
    <col min="14082" max="14082" width="11.7109375" style="9" customWidth="1"/>
    <col min="14083" max="14083" width="12.140625" style="9" customWidth="1"/>
    <col min="14084" max="14084" width="10" style="9" customWidth="1"/>
    <col min="14085" max="14085" width="10.28515625" style="9" customWidth="1"/>
    <col min="14086" max="14086" width="11.140625" style="9" customWidth="1"/>
    <col min="14087" max="14087" width="9.85546875" style="9" customWidth="1"/>
    <col min="14088" max="14088" width="8.5703125" style="9" bestFit="1" customWidth="1"/>
    <col min="14089" max="14332" width="9.140625" style="9"/>
    <col min="14333" max="14333" width="4.42578125" style="9" customWidth="1"/>
    <col min="14334" max="14334" width="27.42578125" style="9" customWidth="1"/>
    <col min="14335" max="14335" width="16.5703125" style="9" customWidth="1"/>
    <col min="14336" max="14336" width="7.140625" style="9" customWidth="1"/>
    <col min="14337" max="14337" width="10" style="9" customWidth="1"/>
    <col min="14338" max="14338" width="11.7109375" style="9" customWidth="1"/>
    <col min="14339" max="14339" width="12.140625" style="9" customWidth="1"/>
    <col min="14340" max="14340" width="10" style="9" customWidth="1"/>
    <col min="14341" max="14341" width="10.28515625" style="9" customWidth="1"/>
    <col min="14342" max="14342" width="11.140625" style="9" customWidth="1"/>
    <col min="14343" max="14343" width="9.85546875" style="9" customWidth="1"/>
    <col min="14344" max="14344" width="8.5703125" style="9" bestFit="1" customWidth="1"/>
    <col min="14345" max="14588" width="9.140625" style="9"/>
    <col min="14589" max="14589" width="4.42578125" style="9" customWidth="1"/>
    <col min="14590" max="14590" width="27.42578125" style="9" customWidth="1"/>
    <col min="14591" max="14591" width="16.5703125" style="9" customWidth="1"/>
    <col min="14592" max="14592" width="7.140625" style="9" customWidth="1"/>
    <col min="14593" max="14593" width="10" style="9" customWidth="1"/>
    <col min="14594" max="14594" width="11.7109375" style="9" customWidth="1"/>
    <col min="14595" max="14595" width="12.140625" style="9" customWidth="1"/>
    <col min="14596" max="14596" width="10" style="9" customWidth="1"/>
    <col min="14597" max="14597" width="10.28515625" style="9" customWidth="1"/>
    <col min="14598" max="14598" width="11.140625" style="9" customWidth="1"/>
    <col min="14599" max="14599" width="9.85546875" style="9" customWidth="1"/>
    <col min="14600" max="14600" width="8.5703125" style="9" bestFit="1" customWidth="1"/>
    <col min="14601" max="14844" width="9.140625" style="9"/>
    <col min="14845" max="14845" width="4.42578125" style="9" customWidth="1"/>
    <col min="14846" max="14846" width="27.42578125" style="9" customWidth="1"/>
    <col min="14847" max="14847" width="16.5703125" style="9" customWidth="1"/>
    <col min="14848" max="14848" width="7.140625" style="9" customWidth="1"/>
    <col min="14849" max="14849" width="10" style="9" customWidth="1"/>
    <col min="14850" max="14850" width="11.7109375" style="9" customWidth="1"/>
    <col min="14851" max="14851" width="12.140625" style="9" customWidth="1"/>
    <col min="14852" max="14852" width="10" style="9" customWidth="1"/>
    <col min="14853" max="14853" width="10.28515625" style="9" customWidth="1"/>
    <col min="14854" max="14854" width="11.140625" style="9" customWidth="1"/>
    <col min="14855" max="14855" width="9.85546875" style="9" customWidth="1"/>
    <col min="14856" max="14856" width="8.5703125" style="9" bestFit="1" customWidth="1"/>
    <col min="14857" max="15100" width="9.140625" style="9"/>
    <col min="15101" max="15101" width="4.42578125" style="9" customWidth="1"/>
    <col min="15102" max="15102" width="27.42578125" style="9" customWidth="1"/>
    <col min="15103" max="15103" width="16.5703125" style="9" customWidth="1"/>
    <col min="15104" max="15104" width="7.140625" style="9" customWidth="1"/>
    <col min="15105" max="15105" width="10" style="9" customWidth="1"/>
    <col min="15106" max="15106" width="11.7109375" style="9" customWidth="1"/>
    <col min="15107" max="15107" width="12.140625" style="9" customWidth="1"/>
    <col min="15108" max="15108" width="10" style="9" customWidth="1"/>
    <col min="15109" max="15109" width="10.28515625" style="9" customWidth="1"/>
    <col min="15110" max="15110" width="11.140625" style="9" customWidth="1"/>
    <col min="15111" max="15111" width="9.85546875" style="9" customWidth="1"/>
    <col min="15112" max="15112" width="8.5703125" style="9" bestFit="1" customWidth="1"/>
    <col min="15113" max="15356" width="9.140625" style="9"/>
    <col min="15357" max="15357" width="4.42578125" style="9" customWidth="1"/>
    <col min="15358" max="15358" width="27.42578125" style="9" customWidth="1"/>
    <col min="15359" max="15359" width="16.5703125" style="9" customWidth="1"/>
    <col min="15360" max="15360" width="7.140625" style="9" customWidth="1"/>
    <col min="15361" max="15361" width="10" style="9" customWidth="1"/>
    <col min="15362" max="15362" width="11.7109375" style="9" customWidth="1"/>
    <col min="15363" max="15363" width="12.140625" style="9" customWidth="1"/>
    <col min="15364" max="15364" width="10" style="9" customWidth="1"/>
    <col min="15365" max="15365" width="10.28515625" style="9" customWidth="1"/>
    <col min="15366" max="15366" width="11.140625" style="9" customWidth="1"/>
    <col min="15367" max="15367" width="9.85546875" style="9" customWidth="1"/>
    <col min="15368" max="15368" width="8.5703125" style="9" bestFit="1" customWidth="1"/>
    <col min="15369" max="15612" width="9.140625" style="9"/>
    <col min="15613" max="15613" width="4.42578125" style="9" customWidth="1"/>
    <col min="15614" max="15614" width="27.42578125" style="9" customWidth="1"/>
    <col min="15615" max="15615" width="16.5703125" style="9" customWidth="1"/>
    <col min="15616" max="15616" width="7.140625" style="9" customWidth="1"/>
    <col min="15617" max="15617" width="10" style="9" customWidth="1"/>
    <col min="15618" max="15618" width="11.7109375" style="9" customWidth="1"/>
    <col min="15619" max="15619" width="12.140625" style="9" customWidth="1"/>
    <col min="15620" max="15620" width="10" style="9" customWidth="1"/>
    <col min="15621" max="15621" width="10.28515625" style="9" customWidth="1"/>
    <col min="15622" max="15622" width="11.140625" style="9" customWidth="1"/>
    <col min="15623" max="15623" width="9.85546875" style="9" customWidth="1"/>
    <col min="15624" max="15624" width="8.5703125" style="9" bestFit="1" customWidth="1"/>
    <col min="15625" max="15868" width="9.140625" style="9"/>
    <col min="15869" max="15869" width="4.42578125" style="9" customWidth="1"/>
    <col min="15870" max="15870" width="27.42578125" style="9" customWidth="1"/>
    <col min="15871" max="15871" width="16.5703125" style="9" customWidth="1"/>
    <col min="15872" max="15872" width="7.140625" style="9" customWidth="1"/>
    <col min="15873" max="15873" width="10" style="9" customWidth="1"/>
    <col min="15874" max="15874" width="11.7109375" style="9" customWidth="1"/>
    <col min="15875" max="15875" width="12.140625" style="9" customWidth="1"/>
    <col min="15876" max="15876" width="10" style="9" customWidth="1"/>
    <col min="15877" max="15877" width="10.28515625" style="9" customWidth="1"/>
    <col min="15878" max="15878" width="11.140625" style="9" customWidth="1"/>
    <col min="15879" max="15879" width="9.85546875" style="9" customWidth="1"/>
    <col min="15880" max="15880" width="8.5703125" style="9" bestFit="1" customWidth="1"/>
    <col min="15881" max="16124" width="9.140625" style="9"/>
    <col min="16125" max="16125" width="4.42578125" style="9" customWidth="1"/>
    <col min="16126" max="16126" width="27.42578125" style="9" customWidth="1"/>
    <col min="16127" max="16127" width="16.5703125" style="9" customWidth="1"/>
    <col min="16128" max="16128" width="7.140625" style="9" customWidth="1"/>
    <col min="16129" max="16129" width="10" style="9" customWidth="1"/>
    <col min="16130" max="16130" width="11.7109375" style="9" customWidth="1"/>
    <col min="16131" max="16131" width="12.140625" style="9" customWidth="1"/>
    <col min="16132" max="16132" width="10" style="9" customWidth="1"/>
    <col min="16133" max="16133" width="10.28515625" style="9" customWidth="1"/>
    <col min="16134" max="16134" width="11.140625" style="9" customWidth="1"/>
    <col min="16135" max="16135" width="9.85546875" style="9" customWidth="1"/>
    <col min="16136" max="16136" width="8.5703125" style="9" bestFit="1" customWidth="1"/>
    <col min="16137" max="16384" width="9.140625" style="9"/>
  </cols>
  <sheetData>
    <row r="1" spans="1:13" s="17" customFormat="1" ht="39.75" customHeight="1">
      <c r="A1" s="175" t="s">
        <v>205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3" ht="17.25" customHeight="1">
      <c r="A2" s="1" t="s">
        <v>167</v>
      </c>
      <c r="E2" s="9"/>
      <c r="F2" s="9"/>
      <c r="G2" s="9"/>
      <c r="H2" s="177" t="s">
        <v>1</v>
      </c>
      <c r="I2" s="178"/>
      <c r="J2" s="178"/>
    </row>
    <row r="3" spans="1:13" ht="17.25" customHeight="1">
      <c r="A3" s="182" t="s">
        <v>2</v>
      </c>
      <c r="B3" s="185" t="s">
        <v>3</v>
      </c>
      <c r="C3" s="182" t="s">
        <v>4</v>
      </c>
      <c r="D3" s="182" t="s">
        <v>5</v>
      </c>
      <c r="E3" s="179" t="s">
        <v>203</v>
      </c>
      <c r="F3" s="180"/>
      <c r="G3" s="180"/>
      <c r="H3" s="181"/>
      <c r="I3" s="170" t="s">
        <v>204</v>
      </c>
      <c r="J3" s="171"/>
    </row>
    <row r="4" spans="1:13" s="5" customFormat="1" ht="45.75" customHeight="1">
      <c r="A4" s="183"/>
      <c r="B4" s="185"/>
      <c r="C4" s="183"/>
      <c r="D4" s="183"/>
      <c r="E4" s="168" t="s">
        <v>201</v>
      </c>
      <c r="F4" s="169"/>
      <c r="G4" s="168" t="s">
        <v>202</v>
      </c>
      <c r="H4" s="169"/>
      <c r="I4" s="172"/>
      <c r="J4" s="173"/>
    </row>
    <row r="5" spans="1:13" s="5" customFormat="1">
      <c r="A5" s="184"/>
      <c r="B5" s="186"/>
      <c r="C5" s="184"/>
      <c r="D5" s="184"/>
      <c r="E5" s="13" t="s">
        <v>7</v>
      </c>
      <c r="F5" s="6" t="s">
        <v>8</v>
      </c>
      <c r="G5" s="13" t="s">
        <v>7</v>
      </c>
      <c r="H5" s="6" t="s">
        <v>8</v>
      </c>
      <c r="I5" s="13" t="s">
        <v>7</v>
      </c>
      <c r="J5" s="6" t="s">
        <v>8</v>
      </c>
    </row>
    <row r="6" spans="1:13" s="17" customFormat="1" ht="33" customHeight="1">
      <c r="A6" s="18">
        <v>1</v>
      </c>
      <c r="B6" s="19" t="s">
        <v>168</v>
      </c>
      <c r="C6" s="20" t="s">
        <v>169</v>
      </c>
      <c r="D6" s="21" t="s">
        <v>10</v>
      </c>
      <c r="E6" s="22">
        <v>5300</v>
      </c>
      <c r="F6" s="3">
        <f>+ROUND(E6*5000/100000,3)</f>
        <v>265</v>
      </c>
      <c r="G6" s="2">
        <v>600</v>
      </c>
      <c r="H6" s="3">
        <f>+ROUND(G6*5000/100000,3)</f>
        <v>30</v>
      </c>
      <c r="I6" s="22">
        <f>+G6+E6</f>
        <v>5900</v>
      </c>
      <c r="J6" s="3">
        <f>+H6+F6</f>
        <v>295</v>
      </c>
    </row>
    <row r="7" spans="1:13">
      <c r="A7" s="23"/>
      <c r="B7" s="14"/>
      <c r="C7" s="23"/>
      <c r="D7" s="23"/>
      <c r="E7" s="25"/>
      <c r="F7" s="25"/>
      <c r="G7" s="24"/>
      <c r="H7" s="25"/>
      <c r="I7" s="24"/>
      <c r="J7" s="25"/>
      <c r="L7" s="17"/>
    </row>
    <row r="8" spans="1:13">
      <c r="A8" s="174">
        <v>2</v>
      </c>
      <c r="B8" s="14" t="s">
        <v>23</v>
      </c>
      <c r="C8" s="26"/>
      <c r="D8" s="27"/>
      <c r="E8" s="28"/>
      <c r="F8" s="28"/>
      <c r="G8" s="27"/>
      <c r="H8" s="28"/>
      <c r="I8" s="27"/>
      <c r="J8" s="28"/>
      <c r="L8" s="17"/>
    </row>
    <row r="9" spans="1:13" s="17" customFormat="1" ht="15">
      <c r="A9" s="174"/>
      <c r="B9" s="20" t="s">
        <v>170</v>
      </c>
      <c r="C9" s="20" t="s">
        <v>171</v>
      </c>
      <c r="D9" s="21" t="s">
        <v>172</v>
      </c>
      <c r="E9" s="7"/>
      <c r="F9" s="4"/>
      <c r="G9" s="15"/>
      <c r="H9" s="4"/>
      <c r="I9" s="7"/>
      <c r="J9" s="4"/>
    </row>
    <row r="10" spans="1:13" s="17" customFormat="1" ht="15">
      <c r="A10" s="174"/>
      <c r="B10" s="20" t="s">
        <v>173</v>
      </c>
      <c r="C10" s="20" t="s">
        <v>174</v>
      </c>
      <c r="D10" s="21" t="s">
        <v>175</v>
      </c>
      <c r="E10" s="160">
        <v>2267.5</v>
      </c>
      <c r="F10" s="4">
        <f>+E10*5000/100000</f>
        <v>113.375</v>
      </c>
      <c r="G10" s="15">
        <v>240.8</v>
      </c>
      <c r="H10" s="4">
        <f>+G10*5000/100000</f>
        <v>12.04</v>
      </c>
      <c r="I10" s="7">
        <f>+E10+G10</f>
        <v>2508.3000000000002</v>
      </c>
      <c r="J10" s="16">
        <f>+F10+H10</f>
        <v>125.41499999999999</v>
      </c>
      <c r="M10" s="9"/>
    </row>
    <row r="11" spans="1:13">
      <c r="A11" s="23"/>
      <c r="B11" s="29" t="s">
        <v>176</v>
      </c>
      <c r="C11" s="29"/>
      <c r="D11" s="30"/>
      <c r="E11" s="31"/>
      <c r="F11" s="25"/>
      <c r="G11" s="31"/>
      <c r="H11" s="25"/>
      <c r="I11" s="31"/>
      <c r="J11" s="25"/>
      <c r="K11" s="17"/>
    </row>
    <row r="12" spans="1:13">
      <c r="A12" s="23"/>
      <c r="B12" s="29"/>
      <c r="C12" s="29"/>
      <c r="D12" s="30"/>
      <c r="E12" s="25"/>
      <c r="F12" s="25"/>
      <c r="G12" s="31"/>
      <c r="H12" s="25"/>
      <c r="I12" s="31"/>
      <c r="J12" s="25"/>
    </row>
    <row r="13" spans="1:13">
      <c r="A13" s="32"/>
      <c r="B13" s="33" t="s">
        <v>177</v>
      </c>
      <c r="C13" s="29"/>
      <c r="D13" s="34"/>
      <c r="E13" s="35"/>
      <c r="F13" s="35">
        <f>+F10+F6</f>
        <v>378.375</v>
      </c>
      <c r="G13" s="35">
        <f t="shared" ref="G13:J13" si="0">+G10+G6</f>
        <v>840.8</v>
      </c>
      <c r="H13" s="35">
        <f t="shared" si="0"/>
        <v>42.04</v>
      </c>
      <c r="I13" s="35">
        <f t="shared" si="0"/>
        <v>8408.2999999999993</v>
      </c>
      <c r="J13" s="35">
        <f t="shared" si="0"/>
        <v>420.41499999999996</v>
      </c>
      <c r="K13" s="11"/>
    </row>
    <row r="14" spans="1:13">
      <c r="A14" s="36"/>
      <c r="B14" s="37" t="s">
        <v>178</v>
      </c>
      <c r="C14" s="36"/>
      <c r="D14" s="36"/>
      <c r="E14" s="39"/>
      <c r="F14" s="39"/>
      <c r="G14" s="38"/>
      <c r="H14" s="39"/>
      <c r="I14" s="38"/>
      <c r="J14" s="39"/>
    </row>
    <row r="15" spans="1:13">
      <c r="A15" s="36"/>
      <c r="B15" s="40" t="s">
        <v>179</v>
      </c>
      <c r="C15" s="36"/>
      <c r="D15" s="36"/>
      <c r="E15" s="39"/>
      <c r="F15" s="39">
        <v>4743.99</v>
      </c>
      <c r="G15" s="38"/>
      <c r="H15" s="39">
        <v>527.11199999999997</v>
      </c>
      <c r="I15" s="38"/>
      <c r="J15" s="39">
        <v>5271.1009999999997</v>
      </c>
      <c r="L15" s="11"/>
    </row>
    <row r="16" spans="1:13">
      <c r="A16" s="36"/>
      <c r="B16" s="40" t="s">
        <v>180</v>
      </c>
      <c r="C16" s="36"/>
      <c r="D16" s="36"/>
      <c r="E16" s="39"/>
      <c r="F16" s="39">
        <v>4436.54</v>
      </c>
      <c r="G16" s="38"/>
      <c r="H16" s="39">
        <v>492.95</v>
      </c>
      <c r="I16" s="38"/>
      <c r="J16" s="39">
        <v>4929.49</v>
      </c>
      <c r="L16" s="11"/>
    </row>
    <row r="17" spans="1:12">
      <c r="A17" s="36"/>
      <c r="B17" s="40" t="s">
        <v>181</v>
      </c>
      <c r="C17" s="36"/>
      <c r="D17" s="36"/>
      <c r="E17" s="39"/>
      <c r="F17" s="35">
        <v>378.375</v>
      </c>
      <c r="G17" s="38"/>
      <c r="H17" s="39">
        <v>42.04</v>
      </c>
      <c r="I17" s="38"/>
      <c r="J17" s="39">
        <f>+F17+H17</f>
        <v>420.41500000000002</v>
      </c>
      <c r="L17" s="11"/>
    </row>
    <row r="18" spans="1:12">
      <c r="A18" s="36"/>
      <c r="B18" s="37" t="s">
        <v>182</v>
      </c>
      <c r="C18" s="36"/>
      <c r="D18" s="36"/>
      <c r="E18" s="39"/>
      <c r="F18" s="41">
        <f>SUM(F15:F17)</f>
        <v>9558.9049999999988</v>
      </c>
      <c r="G18" s="38"/>
      <c r="H18" s="41">
        <f>SUM(H15:H17)</f>
        <v>1062.1019999999999</v>
      </c>
      <c r="I18" s="38"/>
      <c r="J18" s="41">
        <f>SUM(J15:J17)</f>
        <v>10621.006000000001</v>
      </c>
    </row>
    <row r="19" spans="1:12">
      <c r="A19" s="42"/>
      <c r="B19" s="43"/>
      <c r="C19" s="42"/>
      <c r="D19" s="42"/>
      <c r="E19" s="46"/>
      <c r="F19" s="45"/>
      <c r="G19" s="44"/>
      <c r="H19" s="45"/>
      <c r="I19" s="44"/>
      <c r="J19" s="45"/>
    </row>
    <row r="20" spans="1:12">
      <c r="A20" s="42"/>
      <c r="B20" s="43"/>
      <c r="C20" s="42"/>
      <c r="D20" s="42"/>
      <c r="E20" s="46"/>
      <c r="F20" s="45"/>
      <c r="G20" s="44"/>
      <c r="H20" s="45"/>
      <c r="I20" s="44"/>
      <c r="J20" s="45"/>
    </row>
    <row r="21" spans="1:12" ht="18.75">
      <c r="A21" s="42"/>
      <c r="B21" s="43"/>
      <c r="C21" s="42"/>
      <c r="D21" s="42"/>
      <c r="E21" s="46"/>
      <c r="F21" s="151"/>
      <c r="G21" s="150"/>
      <c r="H21" s="150"/>
      <c r="I21" s="150"/>
      <c r="J21" s="151"/>
    </row>
    <row r="22" spans="1:12">
      <c r="H22" s="11" t="s">
        <v>197</v>
      </c>
      <c r="I22" s="10"/>
      <c r="J22" s="11"/>
    </row>
    <row r="23" spans="1:12">
      <c r="B23" s="8" t="s">
        <v>195</v>
      </c>
      <c r="E23" s="9"/>
      <c r="F23" s="11"/>
      <c r="G23" s="9"/>
      <c r="I23" s="47"/>
      <c r="J23" s="47"/>
    </row>
    <row r="24" spans="1:12">
      <c r="B24" s="8" t="s">
        <v>196</v>
      </c>
      <c r="E24" s="9"/>
      <c r="F24" s="9"/>
      <c r="G24" s="9"/>
      <c r="I24" s="47"/>
      <c r="J24" s="47"/>
    </row>
    <row r="25" spans="1:12">
      <c r="B25" s="8" t="s">
        <v>151</v>
      </c>
      <c r="E25" s="9"/>
      <c r="F25" s="11"/>
      <c r="G25" s="9"/>
      <c r="I25" s="47"/>
      <c r="J25" s="47"/>
    </row>
  </sheetData>
  <mergeCells count="11">
    <mergeCell ref="G4:H4"/>
    <mergeCell ref="I3:J4"/>
    <mergeCell ref="A8:A10"/>
    <mergeCell ref="A1:J1"/>
    <mergeCell ref="H2:J2"/>
    <mergeCell ref="E3:H3"/>
    <mergeCell ref="D3:D5"/>
    <mergeCell ref="C3:C5"/>
    <mergeCell ref="B3:B5"/>
    <mergeCell ref="A3:A5"/>
    <mergeCell ref="E4:F4"/>
  </mergeCells>
  <printOptions horizontalCentered="1"/>
  <pageMargins left="0.2" right="0.2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6"/>
  <sheetViews>
    <sheetView topLeftCell="A28" zoomScaleNormal="100" workbookViewId="0">
      <selection activeCell="B74" sqref="B74"/>
    </sheetView>
  </sheetViews>
  <sheetFormatPr defaultRowHeight="19.5" customHeight="1"/>
  <cols>
    <col min="1" max="1" width="5" style="106" customWidth="1"/>
    <col min="2" max="2" width="34.85546875" style="107" customWidth="1"/>
    <col min="3" max="3" width="12" style="105" customWidth="1"/>
    <col min="4" max="4" width="7.140625" style="105" bestFit="1" customWidth="1"/>
    <col min="5" max="5" width="7" style="150" hidden="1" customWidth="1"/>
    <col min="6" max="6" width="9.5703125" style="151" hidden="1" customWidth="1"/>
    <col min="7" max="7" width="9.5703125" style="151" customWidth="1"/>
    <col min="8" max="8" width="14.140625" style="151" bestFit="1" customWidth="1"/>
    <col min="9" max="9" width="13.28515625" style="150" bestFit="1" customWidth="1"/>
    <col min="10" max="10" width="9.28515625" style="151" customWidth="1"/>
    <col min="11" max="11" width="10.42578125" style="150" customWidth="1"/>
    <col min="12" max="12" width="9.5703125" style="151" customWidth="1"/>
    <col min="13" max="231" width="9.140625" style="105"/>
    <col min="232" max="232" width="4.140625" style="105" bestFit="1" customWidth="1"/>
    <col min="233" max="233" width="38.5703125" style="105" customWidth="1"/>
    <col min="234" max="234" width="16.7109375" style="105" bestFit="1" customWidth="1"/>
    <col min="235" max="235" width="7.140625" style="105" bestFit="1" customWidth="1"/>
    <col min="236" max="236" width="7" style="105" customWidth="1"/>
    <col min="237" max="239" width="9.5703125" style="105" customWidth="1"/>
    <col min="240" max="240" width="8.42578125" style="105" customWidth="1"/>
    <col min="241" max="241" width="9.28515625" style="105" customWidth="1"/>
    <col min="242" max="242" width="10.42578125" style="105" customWidth="1"/>
    <col min="243" max="243" width="9.5703125" style="105" customWidth="1"/>
    <col min="244" max="244" width="1" style="105" customWidth="1"/>
    <col min="245" max="487" width="9.140625" style="105"/>
    <col min="488" max="488" width="4.140625" style="105" bestFit="1" customWidth="1"/>
    <col min="489" max="489" width="38.5703125" style="105" customWidth="1"/>
    <col min="490" max="490" width="16.7109375" style="105" bestFit="1" customWidth="1"/>
    <col min="491" max="491" width="7.140625" style="105" bestFit="1" customWidth="1"/>
    <col min="492" max="492" width="7" style="105" customWidth="1"/>
    <col min="493" max="495" width="9.5703125" style="105" customWidth="1"/>
    <col min="496" max="496" width="8.42578125" style="105" customWidth="1"/>
    <col min="497" max="497" width="9.28515625" style="105" customWidth="1"/>
    <col min="498" max="498" width="10.42578125" style="105" customWidth="1"/>
    <col min="499" max="499" width="9.5703125" style="105" customWidth="1"/>
    <col min="500" max="500" width="1" style="105" customWidth="1"/>
    <col min="501" max="743" width="9.140625" style="105"/>
    <col min="744" max="744" width="4.140625" style="105" bestFit="1" customWidth="1"/>
    <col min="745" max="745" width="38.5703125" style="105" customWidth="1"/>
    <col min="746" max="746" width="16.7109375" style="105" bestFit="1" customWidth="1"/>
    <col min="747" max="747" width="7.140625" style="105" bestFit="1" customWidth="1"/>
    <col min="748" max="748" width="7" style="105" customWidth="1"/>
    <col min="749" max="751" width="9.5703125" style="105" customWidth="1"/>
    <col min="752" max="752" width="8.42578125" style="105" customWidth="1"/>
    <col min="753" max="753" width="9.28515625" style="105" customWidth="1"/>
    <col min="754" max="754" width="10.42578125" style="105" customWidth="1"/>
    <col min="755" max="755" width="9.5703125" style="105" customWidth="1"/>
    <col min="756" max="756" width="1" style="105" customWidth="1"/>
    <col min="757" max="999" width="9.140625" style="105"/>
    <col min="1000" max="1000" width="4.140625" style="105" bestFit="1" customWidth="1"/>
    <col min="1001" max="1001" width="38.5703125" style="105" customWidth="1"/>
    <col min="1002" max="1002" width="16.7109375" style="105" bestFit="1" customWidth="1"/>
    <col min="1003" max="1003" width="7.140625" style="105" bestFit="1" customWidth="1"/>
    <col min="1004" max="1004" width="7" style="105" customWidth="1"/>
    <col min="1005" max="1007" width="9.5703125" style="105" customWidth="1"/>
    <col min="1008" max="1008" width="8.42578125" style="105" customWidth="1"/>
    <col min="1009" max="1009" width="9.28515625" style="105" customWidth="1"/>
    <col min="1010" max="1010" width="10.42578125" style="105" customWidth="1"/>
    <col min="1011" max="1011" width="9.5703125" style="105" customWidth="1"/>
    <col min="1012" max="1012" width="1" style="105" customWidth="1"/>
    <col min="1013" max="1255" width="9.140625" style="105"/>
    <col min="1256" max="1256" width="4.140625" style="105" bestFit="1" customWidth="1"/>
    <col min="1257" max="1257" width="38.5703125" style="105" customWidth="1"/>
    <col min="1258" max="1258" width="16.7109375" style="105" bestFit="1" customWidth="1"/>
    <col min="1259" max="1259" width="7.140625" style="105" bestFit="1" customWidth="1"/>
    <col min="1260" max="1260" width="7" style="105" customWidth="1"/>
    <col min="1261" max="1263" width="9.5703125" style="105" customWidth="1"/>
    <col min="1264" max="1264" width="8.42578125" style="105" customWidth="1"/>
    <col min="1265" max="1265" width="9.28515625" style="105" customWidth="1"/>
    <col min="1266" max="1266" width="10.42578125" style="105" customWidth="1"/>
    <col min="1267" max="1267" width="9.5703125" style="105" customWidth="1"/>
    <col min="1268" max="1268" width="1" style="105" customWidth="1"/>
    <col min="1269" max="1511" width="9.140625" style="105"/>
    <col min="1512" max="1512" width="4.140625" style="105" bestFit="1" customWidth="1"/>
    <col min="1513" max="1513" width="38.5703125" style="105" customWidth="1"/>
    <col min="1514" max="1514" width="16.7109375" style="105" bestFit="1" customWidth="1"/>
    <col min="1515" max="1515" width="7.140625" style="105" bestFit="1" customWidth="1"/>
    <col min="1516" max="1516" width="7" style="105" customWidth="1"/>
    <col min="1517" max="1519" width="9.5703125" style="105" customWidth="1"/>
    <col min="1520" max="1520" width="8.42578125" style="105" customWidth="1"/>
    <col min="1521" max="1521" width="9.28515625" style="105" customWidth="1"/>
    <col min="1522" max="1522" width="10.42578125" style="105" customWidth="1"/>
    <col min="1523" max="1523" width="9.5703125" style="105" customWidth="1"/>
    <col min="1524" max="1524" width="1" style="105" customWidth="1"/>
    <col min="1525" max="1767" width="9.140625" style="105"/>
    <col min="1768" max="1768" width="4.140625" style="105" bestFit="1" customWidth="1"/>
    <col min="1769" max="1769" width="38.5703125" style="105" customWidth="1"/>
    <col min="1770" max="1770" width="16.7109375" style="105" bestFit="1" customWidth="1"/>
    <col min="1771" max="1771" width="7.140625" style="105" bestFit="1" customWidth="1"/>
    <col min="1772" max="1772" width="7" style="105" customWidth="1"/>
    <col min="1773" max="1775" width="9.5703125" style="105" customWidth="1"/>
    <col min="1776" max="1776" width="8.42578125" style="105" customWidth="1"/>
    <col min="1777" max="1777" width="9.28515625" style="105" customWidth="1"/>
    <col min="1778" max="1778" width="10.42578125" style="105" customWidth="1"/>
    <col min="1779" max="1779" width="9.5703125" style="105" customWidth="1"/>
    <col min="1780" max="1780" width="1" style="105" customWidth="1"/>
    <col min="1781" max="2023" width="9.140625" style="105"/>
    <col min="2024" max="2024" width="4.140625" style="105" bestFit="1" customWidth="1"/>
    <col min="2025" max="2025" width="38.5703125" style="105" customWidth="1"/>
    <col min="2026" max="2026" width="16.7109375" style="105" bestFit="1" customWidth="1"/>
    <col min="2027" max="2027" width="7.140625" style="105" bestFit="1" customWidth="1"/>
    <col min="2028" max="2028" width="7" style="105" customWidth="1"/>
    <col min="2029" max="2031" width="9.5703125" style="105" customWidth="1"/>
    <col min="2032" max="2032" width="8.42578125" style="105" customWidth="1"/>
    <col min="2033" max="2033" width="9.28515625" style="105" customWidth="1"/>
    <col min="2034" max="2034" width="10.42578125" style="105" customWidth="1"/>
    <col min="2035" max="2035" width="9.5703125" style="105" customWidth="1"/>
    <col min="2036" max="2036" width="1" style="105" customWidth="1"/>
    <col min="2037" max="2279" width="9.140625" style="105"/>
    <col min="2280" max="2280" width="4.140625" style="105" bestFit="1" customWidth="1"/>
    <col min="2281" max="2281" width="38.5703125" style="105" customWidth="1"/>
    <col min="2282" max="2282" width="16.7109375" style="105" bestFit="1" customWidth="1"/>
    <col min="2283" max="2283" width="7.140625" style="105" bestFit="1" customWidth="1"/>
    <col min="2284" max="2284" width="7" style="105" customWidth="1"/>
    <col min="2285" max="2287" width="9.5703125" style="105" customWidth="1"/>
    <col min="2288" max="2288" width="8.42578125" style="105" customWidth="1"/>
    <col min="2289" max="2289" width="9.28515625" style="105" customWidth="1"/>
    <col min="2290" max="2290" width="10.42578125" style="105" customWidth="1"/>
    <col min="2291" max="2291" width="9.5703125" style="105" customWidth="1"/>
    <col min="2292" max="2292" width="1" style="105" customWidth="1"/>
    <col min="2293" max="2535" width="9.140625" style="105"/>
    <col min="2536" max="2536" width="4.140625" style="105" bestFit="1" customWidth="1"/>
    <col min="2537" max="2537" width="38.5703125" style="105" customWidth="1"/>
    <col min="2538" max="2538" width="16.7109375" style="105" bestFit="1" customWidth="1"/>
    <col min="2539" max="2539" width="7.140625" style="105" bestFit="1" customWidth="1"/>
    <col min="2540" max="2540" width="7" style="105" customWidth="1"/>
    <col min="2541" max="2543" width="9.5703125" style="105" customWidth="1"/>
    <col min="2544" max="2544" width="8.42578125" style="105" customWidth="1"/>
    <col min="2545" max="2545" width="9.28515625" style="105" customWidth="1"/>
    <col min="2546" max="2546" width="10.42578125" style="105" customWidth="1"/>
    <col min="2547" max="2547" width="9.5703125" style="105" customWidth="1"/>
    <col min="2548" max="2548" width="1" style="105" customWidth="1"/>
    <col min="2549" max="2791" width="9.140625" style="105"/>
    <col min="2792" max="2792" width="4.140625" style="105" bestFit="1" customWidth="1"/>
    <col min="2793" max="2793" width="38.5703125" style="105" customWidth="1"/>
    <col min="2794" max="2794" width="16.7109375" style="105" bestFit="1" customWidth="1"/>
    <col min="2795" max="2795" width="7.140625" style="105" bestFit="1" customWidth="1"/>
    <col min="2796" max="2796" width="7" style="105" customWidth="1"/>
    <col min="2797" max="2799" width="9.5703125" style="105" customWidth="1"/>
    <col min="2800" max="2800" width="8.42578125" style="105" customWidth="1"/>
    <col min="2801" max="2801" width="9.28515625" style="105" customWidth="1"/>
    <col min="2802" max="2802" width="10.42578125" style="105" customWidth="1"/>
    <col min="2803" max="2803" width="9.5703125" style="105" customWidth="1"/>
    <col min="2804" max="2804" width="1" style="105" customWidth="1"/>
    <col min="2805" max="3047" width="9.140625" style="105"/>
    <col min="3048" max="3048" width="4.140625" style="105" bestFit="1" customWidth="1"/>
    <col min="3049" max="3049" width="38.5703125" style="105" customWidth="1"/>
    <col min="3050" max="3050" width="16.7109375" style="105" bestFit="1" customWidth="1"/>
    <col min="3051" max="3051" width="7.140625" style="105" bestFit="1" customWidth="1"/>
    <col min="3052" max="3052" width="7" style="105" customWidth="1"/>
    <col min="3053" max="3055" width="9.5703125" style="105" customWidth="1"/>
    <col min="3056" max="3056" width="8.42578125" style="105" customWidth="1"/>
    <col min="3057" max="3057" width="9.28515625" style="105" customWidth="1"/>
    <col min="3058" max="3058" width="10.42578125" style="105" customWidth="1"/>
    <col min="3059" max="3059" width="9.5703125" style="105" customWidth="1"/>
    <col min="3060" max="3060" width="1" style="105" customWidth="1"/>
    <col min="3061" max="3303" width="9.140625" style="105"/>
    <col min="3304" max="3304" width="4.140625" style="105" bestFit="1" customWidth="1"/>
    <col min="3305" max="3305" width="38.5703125" style="105" customWidth="1"/>
    <col min="3306" max="3306" width="16.7109375" style="105" bestFit="1" customWidth="1"/>
    <col min="3307" max="3307" width="7.140625" style="105" bestFit="1" customWidth="1"/>
    <col min="3308" max="3308" width="7" style="105" customWidth="1"/>
    <col min="3309" max="3311" width="9.5703125" style="105" customWidth="1"/>
    <col min="3312" max="3312" width="8.42578125" style="105" customWidth="1"/>
    <col min="3313" max="3313" width="9.28515625" style="105" customWidth="1"/>
    <col min="3314" max="3314" width="10.42578125" style="105" customWidth="1"/>
    <col min="3315" max="3315" width="9.5703125" style="105" customWidth="1"/>
    <col min="3316" max="3316" width="1" style="105" customWidth="1"/>
    <col min="3317" max="3559" width="9.140625" style="105"/>
    <col min="3560" max="3560" width="4.140625" style="105" bestFit="1" customWidth="1"/>
    <col min="3561" max="3561" width="38.5703125" style="105" customWidth="1"/>
    <col min="3562" max="3562" width="16.7109375" style="105" bestFit="1" customWidth="1"/>
    <col min="3563" max="3563" width="7.140625" style="105" bestFit="1" customWidth="1"/>
    <col min="3564" max="3564" width="7" style="105" customWidth="1"/>
    <col min="3565" max="3567" width="9.5703125" style="105" customWidth="1"/>
    <col min="3568" max="3568" width="8.42578125" style="105" customWidth="1"/>
    <col min="3569" max="3569" width="9.28515625" style="105" customWidth="1"/>
    <col min="3570" max="3570" width="10.42578125" style="105" customWidth="1"/>
    <col min="3571" max="3571" width="9.5703125" style="105" customWidth="1"/>
    <col min="3572" max="3572" width="1" style="105" customWidth="1"/>
    <col min="3573" max="3815" width="9.140625" style="105"/>
    <col min="3816" max="3816" width="4.140625" style="105" bestFit="1" customWidth="1"/>
    <col min="3817" max="3817" width="38.5703125" style="105" customWidth="1"/>
    <col min="3818" max="3818" width="16.7109375" style="105" bestFit="1" customWidth="1"/>
    <col min="3819" max="3819" width="7.140625" style="105" bestFit="1" customWidth="1"/>
    <col min="3820" max="3820" width="7" style="105" customWidth="1"/>
    <col min="3821" max="3823" width="9.5703125" style="105" customWidth="1"/>
    <col min="3824" max="3824" width="8.42578125" style="105" customWidth="1"/>
    <col min="3825" max="3825" width="9.28515625" style="105" customWidth="1"/>
    <col min="3826" max="3826" width="10.42578125" style="105" customWidth="1"/>
    <col min="3827" max="3827" width="9.5703125" style="105" customWidth="1"/>
    <col min="3828" max="3828" width="1" style="105" customWidth="1"/>
    <col min="3829" max="4071" width="9.140625" style="105"/>
    <col min="4072" max="4072" width="4.140625" style="105" bestFit="1" customWidth="1"/>
    <col min="4073" max="4073" width="38.5703125" style="105" customWidth="1"/>
    <col min="4074" max="4074" width="16.7109375" style="105" bestFit="1" customWidth="1"/>
    <col min="4075" max="4075" width="7.140625" style="105" bestFit="1" customWidth="1"/>
    <col min="4076" max="4076" width="7" style="105" customWidth="1"/>
    <col min="4077" max="4079" width="9.5703125" style="105" customWidth="1"/>
    <col min="4080" max="4080" width="8.42578125" style="105" customWidth="1"/>
    <col min="4081" max="4081" width="9.28515625" style="105" customWidth="1"/>
    <col min="4082" max="4082" width="10.42578125" style="105" customWidth="1"/>
    <col min="4083" max="4083" width="9.5703125" style="105" customWidth="1"/>
    <col min="4084" max="4084" width="1" style="105" customWidth="1"/>
    <col min="4085" max="4327" width="9.140625" style="105"/>
    <col min="4328" max="4328" width="4.140625" style="105" bestFit="1" customWidth="1"/>
    <col min="4329" max="4329" width="38.5703125" style="105" customWidth="1"/>
    <col min="4330" max="4330" width="16.7109375" style="105" bestFit="1" customWidth="1"/>
    <col min="4331" max="4331" width="7.140625" style="105" bestFit="1" customWidth="1"/>
    <col min="4332" max="4332" width="7" style="105" customWidth="1"/>
    <col min="4333" max="4335" width="9.5703125" style="105" customWidth="1"/>
    <col min="4336" max="4336" width="8.42578125" style="105" customWidth="1"/>
    <col min="4337" max="4337" width="9.28515625" style="105" customWidth="1"/>
    <col min="4338" max="4338" width="10.42578125" style="105" customWidth="1"/>
    <col min="4339" max="4339" width="9.5703125" style="105" customWidth="1"/>
    <col min="4340" max="4340" width="1" style="105" customWidth="1"/>
    <col min="4341" max="4583" width="9.140625" style="105"/>
    <col min="4584" max="4584" width="4.140625" style="105" bestFit="1" customWidth="1"/>
    <col min="4585" max="4585" width="38.5703125" style="105" customWidth="1"/>
    <col min="4586" max="4586" width="16.7109375" style="105" bestFit="1" customWidth="1"/>
    <col min="4587" max="4587" width="7.140625" style="105" bestFit="1" customWidth="1"/>
    <col min="4588" max="4588" width="7" style="105" customWidth="1"/>
    <col min="4589" max="4591" width="9.5703125" style="105" customWidth="1"/>
    <col min="4592" max="4592" width="8.42578125" style="105" customWidth="1"/>
    <col min="4593" max="4593" width="9.28515625" style="105" customWidth="1"/>
    <col min="4594" max="4594" width="10.42578125" style="105" customWidth="1"/>
    <col min="4595" max="4595" width="9.5703125" style="105" customWidth="1"/>
    <col min="4596" max="4596" width="1" style="105" customWidth="1"/>
    <col min="4597" max="4839" width="9.140625" style="105"/>
    <col min="4840" max="4840" width="4.140625" style="105" bestFit="1" customWidth="1"/>
    <col min="4841" max="4841" width="38.5703125" style="105" customWidth="1"/>
    <col min="4842" max="4842" width="16.7109375" style="105" bestFit="1" customWidth="1"/>
    <col min="4843" max="4843" width="7.140625" style="105" bestFit="1" customWidth="1"/>
    <col min="4844" max="4844" width="7" style="105" customWidth="1"/>
    <col min="4845" max="4847" width="9.5703125" style="105" customWidth="1"/>
    <col min="4848" max="4848" width="8.42578125" style="105" customWidth="1"/>
    <col min="4849" max="4849" width="9.28515625" style="105" customWidth="1"/>
    <col min="4850" max="4850" width="10.42578125" style="105" customWidth="1"/>
    <col min="4851" max="4851" width="9.5703125" style="105" customWidth="1"/>
    <col min="4852" max="4852" width="1" style="105" customWidth="1"/>
    <col min="4853" max="5095" width="9.140625" style="105"/>
    <col min="5096" max="5096" width="4.140625" style="105" bestFit="1" customWidth="1"/>
    <col min="5097" max="5097" width="38.5703125" style="105" customWidth="1"/>
    <col min="5098" max="5098" width="16.7109375" style="105" bestFit="1" customWidth="1"/>
    <col min="5099" max="5099" width="7.140625" style="105" bestFit="1" customWidth="1"/>
    <col min="5100" max="5100" width="7" style="105" customWidth="1"/>
    <col min="5101" max="5103" width="9.5703125" style="105" customWidth="1"/>
    <col min="5104" max="5104" width="8.42578125" style="105" customWidth="1"/>
    <col min="5105" max="5105" width="9.28515625" style="105" customWidth="1"/>
    <col min="5106" max="5106" width="10.42578125" style="105" customWidth="1"/>
    <col min="5107" max="5107" width="9.5703125" style="105" customWidth="1"/>
    <col min="5108" max="5108" width="1" style="105" customWidth="1"/>
    <col min="5109" max="5351" width="9.140625" style="105"/>
    <col min="5352" max="5352" width="4.140625" style="105" bestFit="1" customWidth="1"/>
    <col min="5353" max="5353" width="38.5703125" style="105" customWidth="1"/>
    <col min="5354" max="5354" width="16.7109375" style="105" bestFit="1" customWidth="1"/>
    <col min="5355" max="5355" width="7.140625" style="105" bestFit="1" customWidth="1"/>
    <col min="5356" max="5356" width="7" style="105" customWidth="1"/>
    <col min="5357" max="5359" width="9.5703125" style="105" customWidth="1"/>
    <col min="5360" max="5360" width="8.42578125" style="105" customWidth="1"/>
    <col min="5361" max="5361" width="9.28515625" style="105" customWidth="1"/>
    <col min="5362" max="5362" width="10.42578125" style="105" customWidth="1"/>
    <col min="5363" max="5363" width="9.5703125" style="105" customWidth="1"/>
    <col min="5364" max="5364" width="1" style="105" customWidth="1"/>
    <col min="5365" max="5607" width="9.140625" style="105"/>
    <col min="5608" max="5608" width="4.140625" style="105" bestFit="1" customWidth="1"/>
    <col min="5609" max="5609" width="38.5703125" style="105" customWidth="1"/>
    <col min="5610" max="5610" width="16.7109375" style="105" bestFit="1" customWidth="1"/>
    <col min="5611" max="5611" width="7.140625" style="105" bestFit="1" customWidth="1"/>
    <col min="5612" max="5612" width="7" style="105" customWidth="1"/>
    <col min="5613" max="5615" width="9.5703125" style="105" customWidth="1"/>
    <col min="5616" max="5616" width="8.42578125" style="105" customWidth="1"/>
    <col min="5617" max="5617" width="9.28515625" style="105" customWidth="1"/>
    <col min="5618" max="5618" width="10.42578125" style="105" customWidth="1"/>
    <col min="5619" max="5619" width="9.5703125" style="105" customWidth="1"/>
    <col min="5620" max="5620" width="1" style="105" customWidth="1"/>
    <col min="5621" max="5863" width="9.140625" style="105"/>
    <col min="5864" max="5864" width="4.140625" style="105" bestFit="1" customWidth="1"/>
    <col min="5865" max="5865" width="38.5703125" style="105" customWidth="1"/>
    <col min="5866" max="5866" width="16.7109375" style="105" bestFit="1" customWidth="1"/>
    <col min="5867" max="5867" width="7.140625" style="105" bestFit="1" customWidth="1"/>
    <col min="5868" max="5868" width="7" style="105" customWidth="1"/>
    <col min="5869" max="5871" width="9.5703125" style="105" customWidth="1"/>
    <col min="5872" max="5872" width="8.42578125" style="105" customWidth="1"/>
    <col min="5873" max="5873" width="9.28515625" style="105" customWidth="1"/>
    <col min="5874" max="5874" width="10.42578125" style="105" customWidth="1"/>
    <col min="5875" max="5875" width="9.5703125" style="105" customWidth="1"/>
    <col min="5876" max="5876" width="1" style="105" customWidth="1"/>
    <col min="5877" max="6119" width="9.140625" style="105"/>
    <col min="6120" max="6120" width="4.140625" style="105" bestFit="1" customWidth="1"/>
    <col min="6121" max="6121" width="38.5703125" style="105" customWidth="1"/>
    <col min="6122" max="6122" width="16.7109375" style="105" bestFit="1" customWidth="1"/>
    <col min="6123" max="6123" width="7.140625" style="105" bestFit="1" customWidth="1"/>
    <col min="6124" max="6124" width="7" style="105" customWidth="1"/>
    <col min="6125" max="6127" width="9.5703125" style="105" customWidth="1"/>
    <col min="6128" max="6128" width="8.42578125" style="105" customWidth="1"/>
    <col min="6129" max="6129" width="9.28515625" style="105" customWidth="1"/>
    <col min="6130" max="6130" width="10.42578125" style="105" customWidth="1"/>
    <col min="6131" max="6131" width="9.5703125" style="105" customWidth="1"/>
    <col min="6132" max="6132" width="1" style="105" customWidth="1"/>
    <col min="6133" max="6375" width="9.140625" style="105"/>
    <col min="6376" max="6376" width="4.140625" style="105" bestFit="1" customWidth="1"/>
    <col min="6377" max="6377" width="38.5703125" style="105" customWidth="1"/>
    <col min="6378" max="6378" width="16.7109375" style="105" bestFit="1" customWidth="1"/>
    <col min="6379" max="6379" width="7.140625" style="105" bestFit="1" customWidth="1"/>
    <col min="6380" max="6380" width="7" style="105" customWidth="1"/>
    <col min="6381" max="6383" width="9.5703125" style="105" customWidth="1"/>
    <col min="6384" max="6384" width="8.42578125" style="105" customWidth="1"/>
    <col min="6385" max="6385" width="9.28515625" style="105" customWidth="1"/>
    <col min="6386" max="6386" width="10.42578125" style="105" customWidth="1"/>
    <col min="6387" max="6387" width="9.5703125" style="105" customWidth="1"/>
    <col min="6388" max="6388" width="1" style="105" customWidth="1"/>
    <col min="6389" max="6631" width="9.140625" style="105"/>
    <col min="6632" max="6632" width="4.140625" style="105" bestFit="1" customWidth="1"/>
    <col min="6633" max="6633" width="38.5703125" style="105" customWidth="1"/>
    <col min="6634" max="6634" width="16.7109375" style="105" bestFit="1" customWidth="1"/>
    <col min="6635" max="6635" width="7.140625" style="105" bestFit="1" customWidth="1"/>
    <col min="6636" max="6636" width="7" style="105" customWidth="1"/>
    <col min="6637" max="6639" width="9.5703125" style="105" customWidth="1"/>
    <col min="6640" max="6640" width="8.42578125" style="105" customWidth="1"/>
    <col min="6641" max="6641" width="9.28515625" style="105" customWidth="1"/>
    <col min="6642" max="6642" width="10.42578125" style="105" customWidth="1"/>
    <col min="6643" max="6643" width="9.5703125" style="105" customWidth="1"/>
    <col min="6644" max="6644" width="1" style="105" customWidth="1"/>
    <col min="6645" max="6887" width="9.140625" style="105"/>
    <col min="6888" max="6888" width="4.140625" style="105" bestFit="1" customWidth="1"/>
    <col min="6889" max="6889" width="38.5703125" style="105" customWidth="1"/>
    <col min="6890" max="6890" width="16.7109375" style="105" bestFit="1" customWidth="1"/>
    <col min="6891" max="6891" width="7.140625" style="105" bestFit="1" customWidth="1"/>
    <col min="6892" max="6892" width="7" style="105" customWidth="1"/>
    <col min="6893" max="6895" width="9.5703125" style="105" customWidth="1"/>
    <col min="6896" max="6896" width="8.42578125" style="105" customWidth="1"/>
    <col min="6897" max="6897" width="9.28515625" style="105" customWidth="1"/>
    <col min="6898" max="6898" width="10.42578125" style="105" customWidth="1"/>
    <col min="6899" max="6899" width="9.5703125" style="105" customWidth="1"/>
    <col min="6900" max="6900" width="1" style="105" customWidth="1"/>
    <col min="6901" max="7143" width="9.140625" style="105"/>
    <col min="7144" max="7144" width="4.140625" style="105" bestFit="1" customWidth="1"/>
    <col min="7145" max="7145" width="38.5703125" style="105" customWidth="1"/>
    <col min="7146" max="7146" width="16.7109375" style="105" bestFit="1" customWidth="1"/>
    <col min="7147" max="7147" width="7.140625" style="105" bestFit="1" customWidth="1"/>
    <col min="7148" max="7148" width="7" style="105" customWidth="1"/>
    <col min="7149" max="7151" width="9.5703125" style="105" customWidth="1"/>
    <col min="7152" max="7152" width="8.42578125" style="105" customWidth="1"/>
    <col min="7153" max="7153" width="9.28515625" style="105" customWidth="1"/>
    <col min="7154" max="7154" width="10.42578125" style="105" customWidth="1"/>
    <col min="7155" max="7155" width="9.5703125" style="105" customWidth="1"/>
    <col min="7156" max="7156" width="1" style="105" customWidth="1"/>
    <col min="7157" max="7399" width="9.140625" style="105"/>
    <col min="7400" max="7400" width="4.140625" style="105" bestFit="1" customWidth="1"/>
    <col min="7401" max="7401" width="38.5703125" style="105" customWidth="1"/>
    <col min="7402" max="7402" width="16.7109375" style="105" bestFit="1" customWidth="1"/>
    <col min="7403" max="7403" width="7.140625" style="105" bestFit="1" customWidth="1"/>
    <col min="7404" max="7404" width="7" style="105" customWidth="1"/>
    <col min="7405" max="7407" width="9.5703125" style="105" customWidth="1"/>
    <col min="7408" max="7408" width="8.42578125" style="105" customWidth="1"/>
    <col min="7409" max="7409" width="9.28515625" style="105" customWidth="1"/>
    <col min="7410" max="7410" width="10.42578125" style="105" customWidth="1"/>
    <col min="7411" max="7411" width="9.5703125" style="105" customWidth="1"/>
    <col min="7412" max="7412" width="1" style="105" customWidth="1"/>
    <col min="7413" max="7655" width="9.140625" style="105"/>
    <col min="7656" max="7656" width="4.140625" style="105" bestFit="1" customWidth="1"/>
    <col min="7657" max="7657" width="38.5703125" style="105" customWidth="1"/>
    <col min="7658" max="7658" width="16.7109375" style="105" bestFit="1" customWidth="1"/>
    <col min="7659" max="7659" width="7.140625" style="105" bestFit="1" customWidth="1"/>
    <col min="7660" max="7660" width="7" style="105" customWidth="1"/>
    <col min="7661" max="7663" width="9.5703125" style="105" customWidth="1"/>
    <col min="7664" max="7664" width="8.42578125" style="105" customWidth="1"/>
    <col min="7665" max="7665" width="9.28515625" style="105" customWidth="1"/>
    <col min="7666" max="7666" width="10.42578125" style="105" customWidth="1"/>
    <col min="7667" max="7667" width="9.5703125" style="105" customWidth="1"/>
    <col min="7668" max="7668" width="1" style="105" customWidth="1"/>
    <col min="7669" max="7911" width="9.140625" style="105"/>
    <col min="7912" max="7912" width="4.140625" style="105" bestFit="1" customWidth="1"/>
    <col min="7913" max="7913" width="38.5703125" style="105" customWidth="1"/>
    <col min="7914" max="7914" width="16.7109375" style="105" bestFit="1" customWidth="1"/>
    <col min="7915" max="7915" width="7.140625" style="105" bestFit="1" customWidth="1"/>
    <col min="7916" max="7916" width="7" style="105" customWidth="1"/>
    <col min="7917" max="7919" width="9.5703125" style="105" customWidth="1"/>
    <col min="7920" max="7920" width="8.42578125" style="105" customWidth="1"/>
    <col min="7921" max="7921" width="9.28515625" style="105" customWidth="1"/>
    <col min="7922" max="7922" width="10.42578125" style="105" customWidth="1"/>
    <col min="7923" max="7923" width="9.5703125" style="105" customWidth="1"/>
    <col min="7924" max="7924" width="1" style="105" customWidth="1"/>
    <col min="7925" max="8167" width="9.140625" style="105"/>
    <col min="8168" max="8168" width="4.140625" style="105" bestFit="1" customWidth="1"/>
    <col min="8169" max="8169" width="38.5703125" style="105" customWidth="1"/>
    <col min="8170" max="8170" width="16.7109375" style="105" bestFit="1" customWidth="1"/>
    <col min="8171" max="8171" width="7.140625" style="105" bestFit="1" customWidth="1"/>
    <col min="8172" max="8172" width="7" style="105" customWidth="1"/>
    <col min="8173" max="8175" width="9.5703125" style="105" customWidth="1"/>
    <col min="8176" max="8176" width="8.42578125" style="105" customWidth="1"/>
    <col min="8177" max="8177" width="9.28515625" style="105" customWidth="1"/>
    <col min="8178" max="8178" width="10.42578125" style="105" customWidth="1"/>
    <col min="8179" max="8179" width="9.5703125" style="105" customWidth="1"/>
    <col min="8180" max="8180" width="1" style="105" customWidth="1"/>
    <col min="8181" max="8423" width="9.140625" style="105"/>
    <col min="8424" max="8424" width="4.140625" style="105" bestFit="1" customWidth="1"/>
    <col min="8425" max="8425" width="38.5703125" style="105" customWidth="1"/>
    <col min="8426" max="8426" width="16.7109375" style="105" bestFit="1" customWidth="1"/>
    <col min="8427" max="8427" width="7.140625" style="105" bestFit="1" customWidth="1"/>
    <col min="8428" max="8428" width="7" style="105" customWidth="1"/>
    <col min="8429" max="8431" width="9.5703125" style="105" customWidth="1"/>
    <col min="8432" max="8432" width="8.42578125" style="105" customWidth="1"/>
    <col min="8433" max="8433" width="9.28515625" style="105" customWidth="1"/>
    <col min="8434" max="8434" width="10.42578125" style="105" customWidth="1"/>
    <col min="8435" max="8435" width="9.5703125" style="105" customWidth="1"/>
    <col min="8436" max="8436" width="1" style="105" customWidth="1"/>
    <col min="8437" max="8679" width="9.140625" style="105"/>
    <col min="8680" max="8680" width="4.140625" style="105" bestFit="1" customWidth="1"/>
    <col min="8681" max="8681" width="38.5703125" style="105" customWidth="1"/>
    <col min="8682" max="8682" width="16.7109375" style="105" bestFit="1" customWidth="1"/>
    <col min="8683" max="8683" width="7.140625" style="105" bestFit="1" customWidth="1"/>
    <col min="8684" max="8684" width="7" style="105" customWidth="1"/>
    <col min="8685" max="8687" width="9.5703125" style="105" customWidth="1"/>
    <col min="8688" max="8688" width="8.42578125" style="105" customWidth="1"/>
    <col min="8689" max="8689" width="9.28515625" style="105" customWidth="1"/>
    <col min="8690" max="8690" width="10.42578125" style="105" customWidth="1"/>
    <col min="8691" max="8691" width="9.5703125" style="105" customWidth="1"/>
    <col min="8692" max="8692" width="1" style="105" customWidth="1"/>
    <col min="8693" max="8935" width="9.140625" style="105"/>
    <col min="8936" max="8936" width="4.140625" style="105" bestFit="1" customWidth="1"/>
    <col min="8937" max="8937" width="38.5703125" style="105" customWidth="1"/>
    <col min="8938" max="8938" width="16.7109375" style="105" bestFit="1" customWidth="1"/>
    <col min="8939" max="8939" width="7.140625" style="105" bestFit="1" customWidth="1"/>
    <col min="8940" max="8940" width="7" style="105" customWidth="1"/>
    <col min="8941" max="8943" width="9.5703125" style="105" customWidth="1"/>
    <col min="8944" max="8944" width="8.42578125" style="105" customWidth="1"/>
    <col min="8945" max="8945" width="9.28515625" style="105" customWidth="1"/>
    <col min="8946" max="8946" width="10.42578125" style="105" customWidth="1"/>
    <col min="8947" max="8947" width="9.5703125" style="105" customWidth="1"/>
    <col min="8948" max="8948" width="1" style="105" customWidth="1"/>
    <col min="8949" max="9191" width="9.140625" style="105"/>
    <col min="9192" max="9192" width="4.140625" style="105" bestFit="1" customWidth="1"/>
    <col min="9193" max="9193" width="38.5703125" style="105" customWidth="1"/>
    <col min="9194" max="9194" width="16.7109375" style="105" bestFit="1" customWidth="1"/>
    <col min="9195" max="9195" width="7.140625" style="105" bestFit="1" customWidth="1"/>
    <col min="9196" max="9196" width="7" style="105" customWidth="1"/>
    <col min="9197" max="9199" width="9.5703125" style="105" customWidth="1"/>
    <col min="9200" max="9200" width="8.42578125" style="105" customWidth="1"/>
    <col min="9201" max="9201" width="9.28515625" style="105" customWidth="1"/>
    <col min="9202" max="9202" width="10.42578125" style="105" customWidth="1"/>
    <col min="9203" max="9203" width="9.5703125" style="105" customWidth="1"/>
    <col min="9204" max="9204" width="1" style="105" customWidth="1"/>
    <col min="9205" max="9447" width="9.140625" style="105"/>
    <col min="9448" max="9448" width="4.140625" style="105" bestFit="1" customWidth="1"/>
    <col min="9449" max="9449" width="38.5703125" style="105" customWidth="1"/>
    <col min="9450" max="9450" width="16.7109375" style="105" bestFit="1" customWidth="1"/>
    <col min="9451" max="9451" width="7.140625" style="105" bestFit="1" customWidth="1"/>
    <col min="9452" max="9452" width="7" style="105" customWidth="1"/>
    <col min="9453" max="9455" width="9.5703125" style="105" customWidth="1"/>
    <col min="9456" max="9456" width="8.42578125" style="105" customWidth="1"/>
    <col min="9457" max="9457" width="9.28515625" style="105" customWidth="1"/>
    <col min="9458" max="9458" width="10.42578125" style="105" customWidth="1"/>
    <col min="9459" max="9459" width="9.5703125" style="105" customWidth="1"/>
    <col min="9460" max="9460" width="1" style="105" customWidth="1"/>
    <col min="9461" max="9703" width="9.140625" style="105"/>
    <col min="9704" max="9704" width="4.140625" style="105" bestFit="1" customWidth="1"/>
    <col min="9705" max="9705" width="38.5703125" style="105" customWidth="1"/>
    <col min="9706" max="9706" width="16.7109375" style="105" bestFit="1" customWidth="1"/>
    <col min="9707" max="9707" width="7.140625" style="105" bestFit="1" customWidth="1"/>
    <col min="9708" max="9708" width="7" style="105" customWidth="1"/>
    <col min="9709" max="9711" width="9.5703125" style="105" customWidth="1"/>
    <col min="9712" max="9712" width="8.42578125" style="105" customWidth="1"/>
    <col min="9713" max="9713" width="9.28515625" style="105" customWidth="1"/>
    <col min="9714" max="9714" width="10.42578125" style="105" customWidth="1"/>
    <col min="9715" max="9715" width="9.5703125" style="105" customWidth="1"/>
    <col min="9716" max="9716" width="1" style="105" customWidth="1"/>
    <col min="9717" max="9959" width="9.140625" style="105"/>
    <col min="9960" max="9960" width="4.140625" style="105" bestFit="1" customWidth="1"/>
    <col min="9961" max="9961" width="38.5703125" style="105" customWidth="1"/>
    <col min="9962" max="9962" width="16.7109375" style="105" bestFit="1" customWidth="1"/>
    <col min="9963" max="9963" width="7.140625" style="105" bestFit="1" customWidth="1"/>
    <col min="9964" max="9964" width="7" style="105" customWidth="1"/>
    <col min="9965" max="9967" width="9.5703125" style="105" customWidth="1"/>
    <col min="9968" max="9968" width="8.42578125" style="105" customWidth="1"/>
    <col min="9969" max="9969" width="9.28515625" style="105" customWidth="1"/>
    <col min="9970" max="9970" width="10.42578125" style="105" customWidth="1"/>
    <col min="9971" max="9971" width="9.5703125" style="105" customWidth="1"/>
    <col min="9972" max="9972" width="1" style="105" customWidth="1"/>
    <col min="9973" max="10215" width="9.140625" style="105"/>
    <col min="10216" max="10216" width="4.140625" style="105" bestFit="1" customWidth="1"/>
    <col min="10217" max="10217" width="38.5703125" style="105" customWidth="1"/>
    <col min="10218" max="10218" width="16.7109375" style="105" bestFit="1" customWidth="1"/>
    <col min="10219" max="10219" width="7.140625" style="105" bestFit="1" customWidth="1"/>
    <col min="10220" max="10220" width="7" style="105" customWidth="1"/>
    <col min="10221" max="10223" width="9.5703125" style="105" customWidth="1"/>
    <col min="10224" max="10224" width="8.42578125" style="105" customWidth="1"/>
    <col min="10225" max="10225" width="9.28515625" style="105" customWidth="1"/>
    <col min="10226" max="10226" width="10.42578125" style="105" customWidth="1"/>
    <col min="10227" max="10227" width="9.5703125" style="105" customWidth="1"/>
    <col min="10228" max="10228" width="1" style="105" customWidth="1"/>
    <col min="10229" max="10471" width="9.140625" style="105"/>
    <col min="10472" max="10472" width="4.140625" style="105" bestFit="1" customWidth="1"/>
    <col min="10473" max="10473" width="38.5703125" style="105" customWidth="1"/>
    <col min="10474" max="10474" width="16.7109375" style="105" bestFit="1" customWidth="1"/>
    <col min="10475" max="10475" width="7.140625" style="105" bestFit="1" customWidth="1"/>
    <col min="10476" max="10476" width="7" style="105" customWidth="1"/>
    <col min="10477" max="10479" width="9.5703125" style="105" customWidth="1"/>
    <col min="10480" max="10480" width="8.42578125" style="105" customWidth="1"/>
    <col min="10481" max="10481" width="9.28515625" style="105" customWidth="1"/>
    <col min="10482" max="10482" width="10.42578125" style="105" customWidth="1"/>
    <col min="10483" max="10483" width="9.5703125" style="105" customWidth="1"/>
    <col min="10484" max="10484" width="1" style="105" customWidth="1"/>
    <col min="10485" max="10727" width="9.140625" style="105"/>
    <col min="10728" max="10728" width="4.140625" style="105" bestFit="1" customWidth="1"/>
    <col min="10729" max="10729" width="38.5703125" style="105" customWidth="1"/>
    <col min="10730" max="10730" width="16.7109375" style="105" bestFit="1" customWidth="1"/>
    <col min="10731" max="10731" width="7.140625" style="105" bestFit="1" customWidth="1"/>
    <col min="10732" max="10732" width="7" style="105" customWidth="1"/>
    <col min="10733" max="10735" width="9.5703125" style="105" customWidth="1"/>
    <col min="10736" max="10736" width="8.42578125" style="105" customWidth="1"/>
    <col min="10737" max="10737" width="9.28515625" style="105" customWidth="1"/>
    <col min="10738" max="10738" width="10.42578125" style="105" customWidth="1"/>
    <col min="10739" max="10739" width="9.5703125" style="105" customWidth="1"/>
    <col min="10740" max="10740" width="1" style="105" customWidth="1"/>
    <col min="10741" max="10983" width="9.140625" style="105"/>
    <col min="10984" max="10984" width="4.140625" style="105" bestFit="1" customWidth="1"/>
    <col min="10985" max="10985" width="38.5703125" style="105" customWidth="1"/>
    <col min="10986" max="10986" width="16.7109375" style="105" bestFit="1" customWidth="1"/>
    <col min="10987" max="10987" width="7.140625" style="105" bestFit="1" customWidth="1"/>
    <col min="10988" max="10988" width="7" style="105" customWidth="1"/>
    <col min="10989" max="10991" width="9.5703125" style="105" customWidth="1"/>
    <col min="10992" max="10992" width="8.42578125" style="105" customWidth="1"/>
    <col min="10993" max="10993" width="9.28515625" style="105" customWidth="1"/>
    <col min="10994" max="10994" width="10.42578125" style="105" customWidth="1"/>
    <col min="10995" max="10995" width="9.5703125" style="105" customWidth="1"/>
    <col min="10996" max="10996" width="1" style="105" customWidth="1"/>
    <col min="10997" max="11239" width="9.140625" style="105"/>
    <col min="11240" max="11240" width="4.140625" style="105" bestFit="1" customWidth="1"/>
    <col min="11241" max="11241" width="38.5703125" style="105" customWidth="1"/>
    <col min="11242" max="11242" width="16.7109375" style="105" bestFit="1" customWidth="1"/>
    <col min="11243" max="11243" width="7.140625" style="105" bestFit="1" customWidth="1"/>
    <col min="11244" max="11244" width="7" style="105" customWidth="1"/>
    <col min="11245" max="11247" width="9.5703125" style="105" customWidth="1"/>
    <col min="11248" max="11248" width="8.42578125" style="105" customWidth="1"/>
    <col min="11249" max="11249" width="9.28515625" style="105" customWidth="1"/>
    <col min="11250" max="11250" width="10.42578125" style="105" customWidth="1"/>
    <col min="11251" max="11251" width="9.5703125" style="105" customWidth="1"/>
    <col min="11252" max="11252" width="1" style="105" customWidth="1"/>
    <col min="11253" max="11495" width="9.140625" style="105"/>
    <col min="11496" max="11496" width="4.140625" style="105" bestFit="1" customWidth="1"/>
    <col min="11497" max="11497" width="38.5703125" style="105" customWidth="1"/>
    <col min="11498" max="11498" width="16.7109375" style="105" bestFit="1" customWidth="1"/>
    <col min="11499" max="11499" width="7.140625" style="105" bestFit="1" customWidth="1"/>
    <col min="11500" max="11500" width="7" style="105" customWidth="1"/>
    <col min="11501" max="11503" width="9.5703125" style="105" customWidth="1"/>
    <col min="11504" max="11504" width="8.42578125" style="105" customWidth="1"/>
    <col min="11505" max="11505" width="9.28515625" style="105" customWidth="1"/>
    <col min="11506" max="11506" width="10.42578125" style="105" customWidth="1"/>
    <col min="11507" max="11507" width="9.5703125" style="105" customWidth="1"/>
    <col min="11508" max="11508" width="1" style="105" customWidth="1"/>
    <col min="11509" max="11751" width="9.140625" style="105"/>
    <col min="11752" max="11752" width="4.140625" style="105" bestFit="1" customWidth="1"/>
    <col min="11753" max="11753" width="38.5703125" style="105" customWidth="1"/>
    <col min="11754" max="11754" width="16.7109375" style="105" bestFit="1" customWidth="1"/>
    <col min="11755" max="11755" width="7.140625" style="105" bestFit="1" customWidth="1"/>
    <col min="11756" max="11756" width="7" style="105" customWidth="1"/>
    <col min="11757" max="11759" width="9.5703125" style="105" customWidth="1"/>
    <col min="11760" max="11760" width="8.42578125" style="105" customWidth="1"/>
    <col min="11761" max="11761" width="9.28515625" style="105" customWidth="1"/>
    <col min="11762" max="11762" width="10.42578125" style="105" customWidth="1"/>
    <col min="11763" max="11763" width="9.5703125" style="105" customWidth="1"/>
    <col min="11764" max="11764" width="1" style="105" customWidth="1"/>
    <col min="11765" max="12007" width="9.140625" style="105"/>
    <col min="12008" max="12008" width="4.140625" style="105" bestFit="1" customWidth="1"/>
    <col min="12009" max="12009" width="38.5703125" style="105" customWidth="1"/>
    <col min="12010" max="12010" width="16.7109375" style="105" bestFit="1" customWidth="1"/>
    <col min="12011" max="12011" width="7.140625" style="105" bestFit="1" customWidth="1"/>
    <col min="12012" max="12012" width="7" style="105" customWidth="1"/>
    <col min="12013" max="12015" width="9.5703125" style="105" customWidth="1"/>
    <col min="12016" max="12016" width="8.42578125" style="105" customWidth="1"/>
    <col min="12017" max="12017" width="9.28515625" style="105" customWidth="1"/>
    <col min="12018" max="12018" width="10.42578125" style="105" customWidth="1"/>
    <col min="12019" max="12019" width="9.5703125" style="105" customWidth="1"/>
    <col min="12020" max="12020" width="1" style="105" customWidth="1"/>
    <col min="12021" max="12263" width="9.140625" style="105"/>
    <col min="12264" max="12264" width="4.140625" style="105" bestFit="1" customWidth="1"/>
    <col min="12265" max="12265" width="38.5703125" style="105" customWidth="1"/>
    <col min="12266" max="12266" width="16.7109375" style="105" bestFit="1" customWidth="1"/>
    <col min="12267" max="12267" width="7.140625" style="105" bestFit="1" customWidth="1"/>
    <col min="12268" max="12268" width="7" style="105" customWidth="1"/>
    <col min="12269" max="12271" width="9.5703125" style="105" customWidth="1"/>
    <col min="12272" max="12272" width="8.42578125" style="105" customWidth="1"/>
    <col min="12273" max="12273" width="9.28515625" style="105" customWidth="1"/>
    <col min="12274" max="12274" width="10.42578125" style="105" customWidth="1"/>
    <col min="12275" max="12275" width="9.5703125" style="105" customWidth="1"/>
    <col min="12276" max="12276" width="1" style="105" customWidth="1"/>
    <col min="12277" max="12519" width="9.140625" style="105"/>
    <col min="12520" max="12520" width="4.140625" style="105" bestFit="1" customWidth="1"/>
    <col min="12521" max="12521" width="38.5703125" style="105" customWidth="1"/>
    <col min="12522" max="12522" width="16.7109375" style="105" bestFit="1" customWidth="1"/>
    <col min="12523" max="12523" width="7.140625" style="105" bestFit="1" customWidth="1"/>
    <col min="12524" max="12524" width="7" style="105" customWidth="1"/>
    <col min="12525" max="12527" width="9.5703125" style="105" customWidth="1"/>
    <col min="12528" max="12528" width="8.42578125" style="105" customWidth="1"/>
    <col min="12529" max="12529" width="9.28515625" style="105" customWidth="1"/>
    <col min="12530" max="12530" width="10.42578125" style="105" customWidth="1"/>
    <col min="12531" max="12531" width="9.5703125" style="105" customWidth="1"/>
    <col min="12532" max="12532" width="1" style="105" customWidth="1"/>
    <col min="12533" max="12775" width="9.140625" style="105"/>
    <col min="12776" max="12776" width="4.140625" style="105" bestFit="1" customWidth="1"/>
    <col min="12777" max="12777" width="38.5703125" style="105" customWidth="1"/>
    <col min="12778" max="12778" width="16.7109375" style="105" bestFit="1" customWidth="1"/>
    <col min="12779" max="12779" width="7.140625" style="105" bestFit="1" customWidth="1"/>
    <col min="12780" max="12780" width="7" style="105" customWidth="1"/>
    <col min="12781" max="12783" width="9.5703125" style="105" customWidth="1"/>
    <col min="12784" max="12784" width="8.42578125" style="105" customWidth="1"/>
    <col min="12785" max="12785" width="9.28515625" style="105" customWidth="1"/>
    <col min="12786" max="12786" width="10.42578125" style="105" customWidth="1"/>
    <col min="12787" max="12787" width="9.5703125" style="105" customWidth="1"/>
    <col min="12788" max="12788" width="1" style="105" customWidth="1"/>
    <col min="12789" max="13031" width="9.140625" style="105"/>
    <col min="13032" max="13032" width="4.140625" style="105" bestFit="1" customWidth="1"/>
    <col min="13033" max="13033" width="38.5703125" style="105" customWidth="1"/>
    <col min="13034" max="13034" width="16.7109375" style="105" bestFit="1" customWidth="1"/>
    <col min="13035" max="13035" width="7.140625" style="105" bestFit="1" customWidth="1"/>
    <col min="13036" max="13036" width="7" style="105" customWidth="1"/>
    <col min="13037" max="13039" width="9.5703125" style="105" customWidth="1"/>
    <col min="13040" max="13040" width="8.42578125" style="105" customWidth="1"/>
    <col min="13041" max="13041" width="9.28515625" style="105" customWidth="1"/>
    <col min="13042" max="13042" width="10.42578125" style="105" customWidth="1"/>
    <col min="13043" max="13043" width="9.5703125" style="105" customWidth="1"/>
    <col min="13044" max="13044" width="1" style="105" customWidth="1"/>
    <col min="13045" max="13287" width="9.140625" style="105"/>
    <col min="13288" max="13288" width="4.140625" style="105" bestFit="1" customWidth="1"/>
    <col min="13289" max="13289" width="38.5703125" style="105" customWidth="1"/>
    <col min="13290" max="13290" width="16.7109375" style="105" bestFit="1" customWidth="1"/>
    <col min="13291" max="13291" width="7.140625" style="105" bestFit="1" customWidth="1"/>
    <col min="13292" max="13292" width="7" style="105" customWidth="1"/>
    <col min="13293" max="13295" width="9.5703125" style="105" customWidth="1"/>
    <col min="13296" max="13296" width="8.42578125" style="105" customWidth="1"/>
    <col min="13297" max="13297" width="9.28515625" style="105" customWidth="1"/>
    <col min="13298" max="13298" width="10.42578125" style="105" customWidth="1"/>
    <col min="13299" max="13299" width="9.5703125" style="105" customWidth="1"/>
    <col min="13300" max="13300" width="1" style="105" customWidth="1"/>
    <col min="13301" max="13543" width="9.140625" style="105"/>
    <col min="13544" max="13544" width="4.140625" style="105" bestFit="1" customWidth="1"/>
    <col min="13545" max="13545" width="38.5703125" style="105" customWidth="1"/>
    <col min="13546" max="13546" width="16.7109375" style="105" bestFit="1" customWidth="1"/>
    <col min="13547" max="13547" width="7.140625" style="105" bestFit="1" customWidth="1"/>
    <col min="13548" max="13548" width="7" style="105" customWidth="1"/>
    <col min="13549" max="13551" width="9.5703125" style="105" customWidth="1"/>
    <col min="13552" max="13552" width="8.42578125" style="105" customWidth="1"/>
    <col min="13553" max="13553" width="9.28515625" style="105" customWidth="1"/>
    <col min="13554" max="13554" width="10.42578125" style="105" customWidth="1"/>
    <col min="13555" max="13555" width="9.5703125" style="105" customWidth="1"/>
    <col min="13556" max="13556" width="1" style="105" customWidth="1"/>
    <col min="13557" max="13799" width="9.140625" style="105"/>
    <col min="13800" max="13800" width="4.140625" style="105" bestFit="1" customWidth="1"/>
    <col min="13801" max="13801" width="38.5703125" style="105" customWidth="1"/>
    <col min="13802" max="13802" width="16.7109375" style="105" bestFit="1" customWidth="1"/>
    <col min="13803" max="13803" width="7.140625" style="105" bestFit="1" customWidth="1"/>
    <col min="13804" max="13804" width="7" style="105" customWidth="1"/>
    <col min="13805" max="13807" width="9.5703125" style="105" customWidth="1"/>
    <col min="13808" max="13808" width="8.42578125" style="105" customWidth="1"/>
    <col min="13809" max="13809" width="9.28515625" style="105" customWidth="1"/>
    <col min="13810" max="13810" width="10.42578125" style="105" customWidth="1"/>
    <col min="13811" max="13811" width="9.5703125" style="105" customWidth="1"/>
    <col min="13812" max="13812" width="1" style="105" customWidth="1"/>
    <col min="13813" max="14055" width="9.140625" style="105"/>
    <col min="14056" max="14056" width="4.140625" style="105" bestFit="1" customWidth="1"/>
    <col min="14057" max="14057" width="38.5703125" style="105" customWidth="1"/>
    <col min="14058" max="14058" width="16.7109375" style="105" bestFit="1" customWidth="1"/>
    <col min="14059" max="14059" width="7.140625" style="105" bestFit="1" customWidth="1"/>
    <col min="14060" max="14060" width="7" style="105" customWidth="1"/>
    <col min="14061" max="14063" width="9.5703125" style="105" customWidth="1"/>
    <col min="14064" max="14064" width="8.42578125" style="105" customWidth="1"/>
    <col min="14065" max="14065" width="9.28515625" style="105" customWidth="1"/>
    <col min="14066" max="14066" width="10.42578125" style="105" customWidth="1"/>
    <col min="14067" max="14067" width="9.5703125" style="105" customWidth="1"/>
    <col min="14068" max="14068" width="1" style="105" customWidth="1"/>
    <col min="14069" max="14311" width="9.140625" style="105"/>
    <col min="14312" max="14312" width="4.140625" style="105" bestFit="1" customWidth="1"/>
    <col min="14313" max="14313" width="38.5703125" style="105" customWidth="1"/>
    <col min="14314" max="14314" width="16.7109375" style="105" bestFit="1" customWidth="1"/>
    <col min="14315" max="14315" width="7.140625" style="105" bestFit="1" customWidth="1"/>
    <col min="14316" max="14316" width="7" style="105" customWidth="1"/>
    <col min="14317" max="14319" width="9.5703125" style="105" customWidth="1"/>
    <col min="14320" max="14320" width="8.42578125" style="105" customWidth="1"/>
    <col min="14321" max="14321" width="9.28515625" style="105" customWidth="1"/>
    <col min="14322" max="14322" width="10.42578125" style="105" customWidth="1"/>
    <col min="14323" max="14323" width="9.5703125" style="105" customWidth="1"/>
    <col min="14324" max="14324" width="1" style="105" customWidth="1"/>
    <col min="14325" max="14567" width="9.140625" style="105"/>
    <col min="14568" max="14568" width="4.140625" style="105" bestFit="1" customWidth="1"/>
    <col min="14569" max="14569" width="38.5703125" style="105" customWidth="1"/>
    <col min="14570" max="14570" width="16.7109375" style="105" bestFit="1" customWidth="1"/>
    <col min="14571" max="14571" width="7.140625" style="105" bestFit="1" customWidth="1"/>
    <col min="14572" max="14572" width="7" style="105" customWidth="1"/>
    <col min="14573" max="14575" width="9.5703125" style="105" customWidth="1"/>
    <col min="14576" max="14576" width="8.42578125" style="105" customWidth="1"/>
    <col min="14577" max="14577" width="9.28515625" style="105" customWidth="1"/>
    <col min="14578" max="14578" width="10.42578125" style="105" customWidth="1"/>
    <col min="14579" max="14579" width="9.5703125" style="105" customWidth="1"/>
    <col min="14580" max="14580" width="1" style="105" customWidth="1"/>
    <col min="14581" max="14823" width="9.140625" style="105"/>
    <col min="14824" max="14824" width="4.140625" style="105" bestFit="1" customWidth="1"/>
    <col min="14825" max="14825" width="38.5703125" style="105" customWidth="1"/>
    <col min="14826" max="14826" width="16.7109375" style="105" bestFit="1" customWidth="1"/>
    <col min="14827" max="14827" width="7.140625" style="105" bestFit="1" customWidth="1"/>
    <col min="14828" max="14828" width="7" style="105" customWidth="1"/>
    <col min="14829" max="14831" width="9.5703125" style="105" customWidth="1"/>
    <col min="14832" max="14832" width="8.42578125" style="105" customWidth="1"/>
    <col min="14833" max="14833" width="9.28515625" style="105" customWidth="1"/>
    <col min="14834" max="14834" width="10.42578125" style="105" customWidth="1"/>
    <col min="14835" max="14835" width="9.5703125" style="105" customWidth="1"/>
    <col min="14836" max="14836" width="1" style="105" customWidth="1"/>
    <col min="14837" max="15079" width="9.140625" style="105"/>
    <col min="15080" max="15080" width="4.140625" style="105" bestFit="1" customWidth="1"/>
    <col min="15081" max="15081" width="38.5703125" style="105" customWidth="1"/>
    <col min="15082" max="15082" width="16.7109375" style="105" bestFit="1" customWidth="1"/>
    <col min="15083" max="15083" width="7.140625" style="105" bestFit="1" customWidth="1"/>
    <col min="15084" max="15084" width="7" style="105" customWidth="1"/>
    <col min="15085" max="15087" width="9.5703125" style="105" customWidth="1"/>
    <col min="15088" max="15088" width="8.42578125" style="105" customWidth="1"/>
    <col min="15089" max="15089" width="9.28515625" style="105" customWidth="1"/>
    <col min="15090" max="15090" width="10.42578125" style="105" customWidth="1"/>
    <col min="15091" max="15091" width="9.5703125" style="105" customWidth="1"/>
    <col min="15092" max="15092" width="1" style="105" customWidth="1"/>
    <col min="15093" max="15335" width="9.140625" style="105"/>
    <col min="15336" max="15336" width="4.140625" style="105" bestFit="1" customWidth="1"/>
    <col min="15337" max="15337" width="38.5703125" style="105" customWidth="1"/>
    <col min="15338" max="15338" width="16.7109375" style="105" bestFit="1" customWidth="1"/>
    <col min="15339" max="15339" width="7.140625" style="105" bestFit="1" customWidth="1"/>
    <col min="15340" max="15340" width="7" style="105" customWidth="1"/>
    <col min="15341" max="15343" width="9.5703125" style="105" customWidth="1"/>
    <col min="15344" max="15344" width="8.42578125" style="105" customWidth="1"/>
    <col min="15345" max="15345" width="9.28515625" style="105" customWidth="1"/>
    <col min="15346" max="15346" width="10.42578125" style="105" customWidth="1"/>
    <col min="15347" max="15347" width="9.5703125" style="105" customWidth="1"/>
    <col min="15348" max="15348" width="1" style="105" customWidth="1"/>
    <col min="15349" max="15591" width="9.140625" style="105"/>
    <col min="15592" max="15592" width="4.140625" style="105" bestFit="1" customWidth="1"/>
    <col min="15593" max="15593" width="38.5703125" style="105" customWidth="1"/>
    <col min="15594" max="15594" width="16.7109375" style="105" bestFit="1" customWidth="1"/>
    <col min="15595" max="15595" width="7.140625" style="105" bestFit="1" customWidth="1"/>
    <col min="15596" max="15596" width="7" style="105" customWidth="1"/>
    <col min="15597" max="15599" width="9.5703125" style="105" customWidth="1"/>
    <col min="15600" max="15600" width="8.42578125" style="105" customWidth="1"/>
    <col min="15601" max="15601" width="9.28515625" style="105" customWidth="1"/>
    <col min="15602" max="15602" width="10.42578125" style="105" customWidth="1"/>
    <col min="15603" max="15603" width="9.5703125" style="105" customWidth="1"/>
    <col min="15604" max="15604" width="1" style="105" customWidth="1"/>
    <col min="15605" max="15847" width="9.140625" style="105"/>
    <col min="15848" max="15848" width="4.140625" style="105" bestFit="1" customWidth="1"/>
    <col min="15849" max="15849" width="38.5703125" style="105" customWidth="1"/>
    <col min="15850" max="15850" width="16.7109375" style="105" bestFit="1" customWidth="1"/>
    <col min="15851" max="15851" width="7.140625" style="105" bestFit="1" customWidth="1"/>
    <col min="15852" max="15852" width="7" style="105" customWidth="1"/>
    <col min="15853" max="15855" width="9.5703125" style="105" customWidth="1"/>
    <col min="15856" max="15856" width="8.42578125" style="105" customWidth="1"/>
    <col min="15857" max="15857" width="9.28515625" style="105" customWidth="1"/>
    <col min="15858" max="15858" width="10.42578125" style="105" customWidth="1"/>
    <col min="15859" max="15859" width="9.5703125" style="105" customWidth="1"/>
    <col min="15860" max="15860" width="1" style="105" customWidth="1"/>
    <col min="15861" max="16103" width="9.140625" style="105"/>
    <col min="16104" max="16104" width="4.140625" style="105" bestFit="1" customWidth="1"/>
    <col min="16105" max="16105" width="38.5703125" style="105" customWidth="1"/>
    <col min="16106" max="16106" width="16.7109375" style="105" bestFit="1" customWidth="1"/>
    <col min="16107" max="16107" width="7.140625" style="105" bestFit="1" customWidth="1"/>
    <col min="16108" max="16108" width="7" style="105" customWidth="1"/>
    <col min="16109" max="16111" width="9.5703125" style="105" customWidth="1"/>
    <col min="16112" max="16112" width="8.42578125" style="105" customWidth="1"/>
    <col min="16113" max="16113" width="9.28515625" style="105" customWidth="1"/>
    <col min="16114" max="16114" width="10.42578125" style="105" customWidth="1"/>
    <col min="16115" max="16115" width="9.5703125" style="105" customWidth="1"/>
    <col min="16116" max="16116" width="1" style="105" customWidth="1"/>
    <col min="16117" max="16384" width="9.140625" style="105"/>
  </cols>
  <sheetData>
    <row r="1" spans="1:12" ht="19.5" customHeight="1">
      <c r="A1" s="187" t="s">
        <v>184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19.5" customHeight="1">
      <c r="A2" s="107"/>
      <c r="B2" s="106" t="s">
        <v>94</v>
      </c>
      <c r="C2" s="107"/>
      <c r="K2" s="108"/>
      <c r="L2" s="108" t="s">
        <v>1</v>
      </c>
    </row>
    <row r="3" spans="1:12" ht="19.5" customHeight="1">
      <c r="A3" s="107"/>
      <c r="B3" s="106"/>
      <c r="C3" s="107"/>
      <c r="K3" s="108"/>
      <c r="L3" s="108"/>
    </row>
    <row r="4" spans="1:12" ht="19.5" customHeight="1">
      <c r="A4" s="189" t="s">
        <v>2</v>
      </c>
      <c r="B4" s="195" t="s">
        <v>3</v>
      </c>
      <c r="C4" s="189" t="s">
        <v>4</v>
      </c>
      <c r="D4" s="189" t="s">
        <v>5</v>
      </c>
      <c r="E4" s="162"/>
      <c r="F4" s="162"/>
      <c r="G4" s="174" t="s">
        <v>74</v>
      </c>
      <c r="H4" s="174"/>
      <c r="I4" s="174"/>
      <c r="J4" s="174"/>
      <c r="K4" s="190" t="s">
        <v>200</v>
      </c>
      <c r="L4" s="191"/>
    </row>
    <row r="5" spans="1:12" s="106" customFormat="1" ht="19.5" customHeight="1">
      <c r="A5" s="189"/>
      <c r="B5" s="195"/>
      <c r="C5" s="189"/>
      <c r="D5" s="189"/>
      <c r="E5" s="189" t="s">
        <v>6</v>
      </c>
      <c r="F5" s="189"/>
      <c r="G5" s="189" t="s">
        <v>198</v>
      </c>
      <c r="H5" s="189"/>
      <c r="I5" s="189" t="s">
        <v>199</v>
      </c>
      <c r="J5" s="189"/>
      <c r="K5" s="191"/>
      <c r="L5" s="191"/>
    </row>
    <row r="6" spans="1:12" s="106" customFormat="1" ht="19.5" customHeight="1">
      <c r="A6" s="189"/>
      <c r="B6" s="195"/>
      <c r="C6" s="189"/>
      <c r="D6" s="189"/>
      <c r="E6" s="159" t="s">
        <v>7</v>
      </c>
      <c r="F6" s="110" t="s">
        <v>8</v>
      </c>
      <c r="G6" s="159" t="s">
        <v>7</v>
      </c>
      <c r="H6" s="110" t="s">
        <v>8</v>
      </c>
      <c r="I6" s="159" t="s">
        <v>7</v>
      </c>
      <c r="J6" s="110" t="s">
        <v>8</v>
      </c>
      <c r="K6" s="159" t="s">
        <v>7</v>
      </c>
      <c r="L6" s="110" t="s">
        <v>8</v>
      </c>
    </row>
    <row r="7" spans="1:12" ht="19.5" customHeight="1">
      <c r="A7" s="195">
        <v>1</v>
      </c>
      <c r="B7" s="111" t="s">
        <v>95</v>
      </c>
      <c r="C7" s="112"/>
      <c r="D7" s="113"/>
      <c r="E7" s="109"/>
      <c r="F7" s="110"/>
      <c r="G7" s="110"/>
      <c r="H7" s="110"/>
      <c r="I7" s="109"/>
      <c r="J7" s="110"/>
      <c r="K7" s="109"/>
      <c r="L7" s="110"/>
    </row>
    <row r="8" spans="1:12" ht="19.5" customHeight="1">
      <c r="A8" s="195"/>
      <c r="B8" s="103" t="s">
        <v>96</v>
      </c>
      <c r="D8" s="113"/>
      <c r="E8" s="113">
        <v>8800</v>
      </c>
      <c r="F8" s="105">
        <f>+E8*7500/100000</f>
        <v>660</v>
      </c>
      <c r="G8" s="114"/>
      <c r="H8" s="115"/>
      <c r="I8" s="113"/>
      <c r="J8" s="115"/>
      <c r="K8" s="114"/>
      <c r="L8" s="115"/>
    </row>
    <row r="9" spans="1:12" ht="19.5" customHeight="1">
      <c r="A9" s="195"/>
      <c r="B9" s="116" t="s">
        <v>153</v>
      </c>
      <c r="C9" s="112" t="s">
        <v>97</v>
      </c>
      <c r="D9" s="113" t="s">
        <v>10</v>
      </c>
      <c r="E9" s="113"/>
      <c r="F9" s="105"/>
      <c r="G9" s="114">
        <v>2000</v>
      </c>
      <c r="H9" s="115">
        <f t="shared" ref="H9:H14" si="0">+ROUND(G9*7500/100000,3)</f>
        <v>150</v>
      </c>
      <c r="I9" s="113">
        <v>100</v>
      </c>
      <c r="J9" s="115">
        <f t="shared" ref="J9:J14" si="1">+ROUND(I9*7500/100000,3)</f>
        <v>7.5</v>
      </c>
      <c r="K9" s="114">
        <f t="shared" ref="K9:K14" si="2">+I9+G9</f>
        <v>2100</v>
      </c>
      <c r="L9" s="115">
        <f t="shared" ref="L9:L14" si="3">+J9+H9</f>
        <v>157.5</v>
      </c>
    </row>
    <row r="10" spans="1:12" ht="19.5" customHeight="1">
      <c r="A10" s="195"/>
      <c r="B10" s="116" t="s">
        <v>154</v>
      </c>
      <c r="C10" s="112" t="s">
        <v>97</v>
      </c>
      <c r="D10" s="113" t="s">
        <v>10</v>
      </c>
      <c r="E10" s="113"/>
      <c r="F10" s="105"/>
      <c r="G10" s="114">
        <v>700</v>
      </c>
      <c r="H10" s="115">
        <f t="shared" si="0"/>
        <v>52.5</v>
      </c>
      <c r="I10" s="113">
        <v>100</v>
      </c>
      <c r="J10" s="115">
        <f t="shared" si="1"/>
        <v>7.5</v>
      </c>
      <c r="K10" s="114">
        <f t="shared" si="2"/>
        <v>800</v>
      </c>
      <c r="L10" s="115">
        <f t="shared" si="3"/>
        <v>60</v>
      </c>
    </row>
    <row r="11" spans="1:12" ht="19.5" customHeight="1">
      <c r="A11" s="195"/>
      <c r="B11" s="116" t="s">
        <v>155</v>
      </c>
      <c r="C11" s="112" t="s">
        <v>97</v>
      </c>
      <c r="D11" s="113" t="s">
        <v>10</v>
      </c>
      <c r="E11" s="113"/>
      <c r="F11" s="105"/>
      <c r="G11" s="114">
        <v>800</v>
      </c>
      <c r="H11" s="115">
        <f t="shared" si="0"/>
        <v>60</v>
      </c>
      <c r="I11" s="113">
        <v>100</v>
      </c>
      <c r="J11" s="115">
        <f t="shared" si="1"/>
        <v>7.5</v>
      </c>
      <c r="K11" s="114">
        <f t="shared" si="2"/>
        <v>900</v>
      </c>
      <c r="L11" s="115">
        <f t="shared" si="3"/>
        <v>67.5</v>
      </c>
    </row>
    <row r="12" spans="1:12" ht="19.5" customHeight="1">
      <c r="A12" s="195"/>
      <c r="B12" s="116" t="s">
        <v>156</v>
      </c>
      <c r="C12" s="112" t="s">
        <v>97</v>
      </c>
      <c r="D12" s="113" t="s">
        <v>10</v>
      </c>
      <c r="E12" s="113"/>
      <c r="F12" s="105"/>
      <c r="G12" s="114">
        <v>1000</v>
      </c>
      <c r="H12" s="115">
        <f t="shared" si="0"/>
        <v>75</v>
      </c>
      <c r="I12" s="113">
        <v>100</v>
      </c>
      <c r="J12" s="115">
        <f t="shared" si="1"/>
        <v>7.5</v>
      </c>
      <c r="K12" s="114">
        <f t="shared" si="2"/>
        <v>1100</v>
      </c>
      <c r="L12" s="115">
        <f t="shared" si="3"/>
        <v>82.5</v>
      </c>
    </row>
    <row r="13" spans="1:12" ht="19.5" customHeight="1">
      <c r="A13" s="195"/>
      <c r="B13" s="116" t="s">
        <v>157</v>
      </c>
      <c r="C13" s="112" t="s">
        <v>97</v>
      </c>
      <c r="D13" s="113" t="s">
        <v>10</v>
      </c>
      <c r="E13" s="113"/>
      <c r="F13" s="105"/>
      <c r="G13" s="114">
        <v>600</v>
      </c>
      <c r="H13" s="115">
        <f t="shared" si="0"/>
        <v>45</v>
      </c>
      <c r="I13" s="113">
        <v>100</v>
      </c>
      <c r="J13" s="115">
        <f t="shared" si="1"/>
        <v>7.5</v>
      </c>
      <c r="K13" s="114">
        <f t="shared" si="2"/>
        <v>700</v>
      </c>
      <c r="L13" s="115">
        <f t="shared" si="3"/>
        <v>52.5</v>
      </c>
    </row>
    <row r="14" spans="1:12" ht="19.5" customHeight="1">
      <c r="A14" s="195"/>
      <c r="B14" s="116" t="s">
        <v>158</v>
      </c>
      <c r="C14" s="112" t="s">
        <v>97</v>
      </c>
      <c r="D14" s="113" t="s">
        <v>10</v>
      </c>
      <c r="E14" s="113"/>
      <c r="F14" s="105"/>
      <c r="G14" s="114">
        <v>1000</v>
      </c>
      <c r="H14" s="115">
        <f t="shared" si="0"/>
        <v>75</v>
      </c>
      <c r="I14" s="113">
        <v>100</v>
      </c>
      <c r="J14" s="115">
        <f t="shared" si="1"/>
        <v>7.5</v>
      </c>
      <c r="K14" s="114">
        <f t="shared" si="2"/>
        <v>1100</v>
      </c>
      <c r="L14" s="115">
        <f t="shared" si="3"/>
        <v>82.5</v>
      </c>
    </row>
    <row r="15" spans="1:12" ht="19.5" customHeight="1">
      <c r="A15" s="195"/>
      <c r="B15" s="117"/>
      <c r="C15" s="112"/>
      <c r="D15" s="113"/>
      <c r="E15" s="113"/>
      <c r="F15" s="105"/>
      <c r="G15" s="114">
        <f>SUM(G9:G14)</f>
        <v>6100</v>
      </c>
      <c r="H15" s="118">
        <f t="shared" ref="H15:L15" si="4">SUM(H9:H14)</f>
        <v>457.5</v>
      </c>
      <c r="I15" s="114">
        <f t="shared" si="4"/>
        <v>600</v>
      </c>
      <c r="J15" s="118">
        <f t="shared" si="4"/>
        <v>45</v>
      </c>
      <c r="K15" s="114">
        <f t="shared" si="4"/>
        <v>6700</v>
      </c>
      <c r="L15" s="118">
        <f t="shared" si="4"/>
        <v>502.5</v>
      </c>
    </row>
    <row r="16" spans="1:12" ht="19.5" customHeight="1">
      <c r="A16" s="195"/>
      <c r="B16" s="103" t="s">
        <v>98</v>
      </c>
      <c r="D16" s="113" t="s">
        <v>10</v>
      </c>
      <c r="E16" s="113">
        <v>10600</v>
      </c>
      <c r="F16" s="115">
        <f>+ROUND(E16*12500/100000,3)</f>
        <v>1325</v>
      </c>
      <c r="G16" s="114"/>
      <c r="H16" s="115"/>
      <c r="I16" s="113"/>
      <c r="J16" s="115"/>
      <c r="K16" s="114"/>
      <c r="L16" s="115"/>
    </row>
    <row r="17" spans="1:12" ht="19.5" customHeight="1">
      <c r="A17" s="119"/>
      <c r="B17" s="116" t="s">
        <v>159</v>
      </c>
      <c r="C17" s="112" t="s">
        <v>99</v>
      </c>
      <c r="D17" s="113"/>
      <c r="E17" s="113"/>
      <c r="F17" s="115"/>
      <c r="G17" s="114">
        <v>2500</v>
      </c>
      <c r="H17" s="115">
        <f t="shared" ref="H17:H20" si="5">+ROUND(G17*12500/100000,3)</f>
        <v>312.5</v>
      </c>
      <c r="I17" s="113">
        <v>300</v>
      </c>
      <c r="J17" s="115">
        <f t="shared" ref="J17:J21" si="6">+ROUND(I17*12500/100000,3)</f>
        <v>37.5</v>
      </c>
      <c r="K17" s="114">
        <f>+I17+G17</f>
        <v>2800</v>
      </c>
      <c r="L17" s="115">
        <f t="shared" ref="L17:L20" si="7">+J17+H17</f>
        <v>350</v>
      </c>
    </row>
    <row r="18" spans="1:12" ht="19.5" customHeight="1">
      <c r="A18" s="119"/>
      <c r="B18" s="116" t="s">
        <v>160</v>
      </c>
      <c r="C18" s="112" t="s">
        <v>99</v>
      </c>
      <c r="D18" s="113"/>
      <c r="E18" s="113"/>
      <c r="F18" s="115"/>
      <c r="G18" s="114">
        <v>1200</v>
      </c>
      <c r="H18" s="115">
        <f t="shared" si="5"/>
        <v>150</v>
      </c>
      <c r="I18" s="113">
        <v>100</v>
      </c>
      <c r="J18" s="115">
        <f t="shared" si="6"/>
        <v>12.5</v>
      </c>
      <c r="K18" s="114">
        <f>+I18+G18</f>
        <v>1300</v>
      </c>
      <c r="L18" s="115">
        <f t="shared" si="7"/>
        <v>162.5</v>
      </c>
    </row>
    <row r="19" spans="1:12" ht="19.5" customHeight="1">
      <c r="A19" s="119"/>
      <c r="B19" s="116" t="s">
        <v>161</v>
      </c>
      <c r="C19" s="112" t="s">
        <v>99</v>
      </c>
      <c r="D19" s="113"/>
      <c r="E19" s="113"/>
      <c r="F19" s="115"/>
      <c r="G19" s="114">
        <v>1400</v>
      </c>
      <c r="H19" s="115">
        <f t="shared" si="5"/>
        <v>175</v>
      </c>
      <c r="I19" s="113">
        <v>200</v>
      </c>
      <c r="J19" s="115">
        <f t="shared" si="6"/>
        <v>25</v>
      </c>
      <c r="K19" s="114">
        <f>+I19+G19</f>
        <v>1600</v>
      </c>
      <c r="L19" s="115">
        <f t="shared" si="7"/>
        <v>200</v>
      </c>
    </row>
    <row r="20" spans="1:12" ht="19.5" customHeight="1">
      <c r="A20" s="119"/>
      <c r="B20" s="116" t="s">
        <v>162</v>
      </c>
      <c r="C20" s="112" t="s">
        <v>99</v>
      </c>
      <c r="D20" s="113"/>
      <c r="E20" s="113"/>
      <c r="F20" s="115"/>
      <c r="G20" s="114">
        <v>1500</v>
      </c>
      <c r="H20" s="115">
        <f t="shared" si="5"/>
        <v>187.5</v>
      </c>
      <c r="I20" s="113">
        <v>200</v>
      </c>
      <c r="J20" s="115">
        <f t="shared" si="6"/>
        <v>25</v>
      </c>
      <c r="K20" s="114">
        <f>+I20+G20</f>
        <v>1700</v>
      </c>
      <c r="L20" s="115">
        <f t="shared" si="7"/>
        <v>212.5</v>
      </c>
    </row>
    <row r="21" spans="1:12" ht="19.5" customHeight="1">
      <c r="A21" s="119"/>
      <c r="B21" s="116"/>
      <c r="C21" s="112"/>
      <c r="D21" s="113"/>
      <c r="E21" s="113"/>
      <c r="F21" s="115"/>
      <c r="G21" s="114">
        <f>SUM(G17:G20)</f>
        <v>6600</v>
      </c>
      <c r="H21" s="118">
        <f t="shared" ref="H21:L21" si="8">SUM(H17:H20)</f>
        <v>825</v>
      </c>
      <c r="I21" s="114">
        <f t="shared" si="8"/>
        <v>800</v>
      </c>
      <c r="J21" s="115">
        <f t="shared" si="6"/>
        <v>100</v>
      </c>
      <c r="K21" s="114">
        <f t="shared" si="8"/>
        <v>7400</v>
      </c>
      <c r="L21" s="118">
        <f t="shared" si="8"/>
        <v>925</v>
      </c>
    </row>
    <row r="22" spans="1:12" s="106" customFormat="1" ht="19.5" customHeight="1">
      <c r="A22" s="119"/>
      <c r="B22" s="120" t="s">
        <v>100</v>
      </c>
      <c r="C22" s="121"/>
      <c r="D22" s="109"/>
      <c r="E22" s="109">
        <f>+E8+E16</f>
        <v>19400</v>
      </c>
      <c r="F22" s="122">
        <f>SUM(F8:F16)</f>
        <v>1985</v>
      </c>
      <c r="G22" s="123">
        <f>+G21+G15</f>
        <v>12700</v>
      </c>
      <c r="H22" s="110">
        <f t="shared" ref="H22:L22" si="9">+H21+H15</f>
        <v>1282.5</v>
      </c>
      <c r="I22" s="123">
        <f t="shared" si="9"/>
        <v>1400</v>
      </c>
      <c r="J22" s="110">
        <f t="shared" si="9"/>
        <v>145</v>
      </c>
      <c r="K22" s="123">
        <f t="shared" si="9"/>
        <v>14100</v>
      </c>
      <c r="L22" s="110">
        <f t="shared" si="9"/>
        <v>1427.5</v>
      </c>
    </row>
    <row r="23" spans="1:12" ht="19.5" customHeight="1">
      <c r="A23" s="196">
        <v>2</v>
      </c>
      <c r="B23" s="103" t="s">
        <v>187</v>
      </c>
      <c r="D23" s="113" t="s">
        <v>102</v>
      </c>
      <c r="E23" s="113">
        <v>40752</v>
      </c>
      <c r="F23" s="115">
        <f>+ROUND(E23*2500/100000,3)</f>
        <v>1018.8</v>
      </c>
      <c r="G23" s="114"/>
      <c r="H23" s="115"/>
      <c r="I23" s="113"/>
      <c r="J23" s="115"/>
      <c r="K23" s="114"/>
      <c r="L23" s="115"/>
    </row>
    <row r="24" spans="1:12" ht="19.5" customHeight="1">
      <c r="A24" s="197"/>
      <c r="B24" s="116" t="s">
        <v>163</v>
      </c>
      <c r="C24" s="112" t="s">
        <v>101</v>
      </c>
      <c r="D24" s="113"/>
      <c r="E24" s="113"/>
      <c r="F24" s="115"/>
      <c r="G24" s="114">
        <v>8000</v>
      </c>
      <c r="H24" s="115">
        <f t="shared" ref="H24:H36" si="10">+ROUND(G24*2500/100000,3)</f>
        <v>200</v>
      </c>
      <c r="I24" s="113">
        <f t="shared" ref="I24:I36" si="11">+ROUND(G24/0.9*0.1,0)</f>
        <v>889</v>
      </c>
      <c r="J24" s="115">
        <f t="shared" ref="J24:J36" si="12">+ROUND(I24*2500/100000,3)</f>
        <v>22.225000000000001</v>
      </c>
      <c r="K24" s="114">
        <f t="shared" ref="K24:K36" si="13">+I24+G24</f>
        <v>8889</v>
      </c>
      <c r="L24" s="115">
        <f t="shared" ref="L24:L36" si="14">+J24+H24</f>
        <v>222.22499999999999</v>
      </c>
    </row>
    <row r="25" spans="1:12" ht="19.5" customHeight="1">
      <c r="A25" s="197"/>
      <c r="B25" s="116" t="s">
        <v>164</v>
      </c>
      <c r="C25" s="112" t="s">
        <v>101</v>
      </c>
      <c r="D25" s="113"/>
      <c r="E25" s="113"/>
      <c r="F25" s="115"/>
      <c r="G25" s="114">
        <v>5620</v>
      </c>
      <c r="H25" s="115">
        <f t="shared" si="10"/>
        <v>140.5</v>
      </c>
      <c r="I25" s="113">
        <f t="shared" si="11"/>
        <v>624</v>
      </c>
      <c r="J25" s="115">
        <f t="shared" si="12"/>
        <v>15.6</v>
      </c>
      <c r="K25" s="114">
        <f t="shared" si="13"/>
        <v>6244</v>
      </c>
      <c r="L25" s="115">
        <f t="shared" si="14"/>
        <v>156.1</v>
      </c>
    </row>
    <row r="26" spans="1:12" ht="19.5" customHeight="1">
      <c r="A26" s="197"/>
      <c r="B26" s="116" t="s">
        <v>155</v>
      </c>
      <c r="C26" s="112" t="s">
        <v>101</v>
      </c>
      <c r="D26" s="113"/>
      <c r="E26" s="113"/>
      <c r="F26" s="115"/>
      <c r="G26" s="114">
        <v>4000</v>
      </c>
      <c r="H26" s="115">
        <f t="shared" si="10"/>
        <v>100</v>
      </c>
      <c r="I26" s="113">
        <f t="shared" si="11"/>
        <v>444</v>
      </c>
      <c r="J26" s="115">
        <f t="shared" si="12"/>
        <v>11.1</v>
      </c>
      <c r="K26" s="114">
        <f t="shared" si="13"/>
        <v>4444</v>
      </c>
      <c r="L26" s="115">
        <f t="shared" si="14"/>
        <v>111.1</v>
      </c>
    </row>
    <row r="27" spans="1:12" ht="19.5" customHeight="1">
      <c r="A27" s="197"/>
      <c r="B27" s="116" t="s">
        <v>156</v>
      </c>
      <c r="C27" s="112" t="s">
        <v>101</v>
      </c>
      <c r="D27" s="113"/>
      <c r="E27" s="113"/>
      <c r="F27" s="115"/>
      <c r="G27" s="114">
        <v>5000</v>
      </c>
      <c r="H27" s="115">
        <f t="shared" si="10"/>
        <v>125</v>
      </c>
      <c r="I27" s="113">
        <f t="shared" si="11"/>
        <v>556</v>
      </c>
      <c r="J27" s="115">
        <f t="shared" si="12"/>
        <v>13.9</v>
      </c>
      <c r="K27" s="114">
        <f t="shared" si="13"/>
        <v>5556</v>
      </c>
      <c r="L27" s="115">
        <f t="shared" si="14"/>
        <v>138.9</v>
      </c>
    </row>
    <row r="28" spans="1:12" ht="19.5" customHeight="1">
      <c r="A28" s="197"/>
      <c r="B28" s="116" t="s">
        <v>157</v>
      </c>
      <c r="C28" s="112" t="s">
        <v>101</v>
      </c>
      <c r="D28" s="113"/>
      <c r="E28" s="113"/>
      <c r="F28" s="115"/>
      <c r="G28" s="114">
        <v>1000</v>
      </c>
      <c r="H28" s="115">
        <f t="shared" si="10"/>
        <v>25</v>
      </c>
      <c r="I28" s="113">
        <v>112</v>
      </c>
      <c r="J28" s="115">
        <f t="shared" si="12"/>
        <v>2.8</v>
      </c>
      <c r="K28" s="114">
        <f t="shared" si="13"/>
        <v>1112</v>
      </c>
      <c r="L28" s="115">
        <f t="shared" si="14"/>
        <v>27.8</v>
      </c>
    </row>
    <row r="29" spans="1:12" ht="19.5" customHeight="1">
      <c r="A29" s="198"/>
      <c r="B29" s="116" t="s">
        <v>158</v>
      </c>
      <c r="C29" s="112" t="s">
        <v>101</v>
      </c>
      <c r="D29" s="113"/>
      <c r="E29" s="113"/>
      <c r="F29" s="115"/>
      <c r="G29" s="114">
        <v>2000</v>
      </c>
      <c r="H29" s="115">
        <f t="shared" si="10"/>
        <v>50</v>
      </c>
      <c r="I29" s="113">
        <f t="shared" si="11"/>
        <v>222</v>
      </c>
      <c r="J29" s="115">
        <f t="shared" si="12"/>
        <v>5.55</v>
      </c>
      <c r="K29" s="114">
        <f t="shared" si="13"/>
        <v>2222</v>
      </c>
      <c r="L29" s="115">
        <f t="shared" si="14"/>
        <v>55.55</v>
      </c>
    </row>
    <row r="30" spans="1:12" ht="19.5" customHeight="1">
      <c r="A30" s="134"/>
      <c r="B30" s="120" t="s">
        <v>194</v>
      </c>
      <c r="C30" s="112"/>
      <c r="D30" s="113"/>
      <c r="E30" s="113"/>
      <c r="F30" s="115"/>
      <c r="G30" s="123">
        <f>SUM(G24:G29)</f>
        <v>25620</v>
      </c>
      <c r="H30" s="167">
        <f t="shared" ref="H30:L30" si="15">SUM(H24:H29)</f>
        <v>640.5</v>
      </c>
      <c r="I30" s="123">
        <f t="shared" si="15"/>
        <v>2847</v>
      </c>
      <c r="J30" s="110">
        <f t="shared" si="15"/>
        <v>71.174999999999997</v>
      </c>
      <c r="K30" s="123">
        <f t="shared" si="15"/>
        <v>28467</v>
      </c>
      <c r="L30" s="110">
        <f t="shared" si="15"/>
        <v>711.67499999999984</v>
      </c>
    </row>
    <row r="31" spans="1:12" ht="19.5" customHeight="1">
      <c r="A31" s="196">
        <v>3</v>
      </c>
      <c r="B31" s="116" t="s">
        <v>165</v>
      </c>
      <c r="C31" s="112"/>
      <c r="D31" s="113"/>
      <c r="E31" s="113"/>
      <c r="F31" s="115"/>
      <c r="G31" s="114">
        <f>SUM(G24:G29)</f>
        <v>25620</v>
      </c>
      <c r="H31" s="114"/>
      <c r="I31" s="114"/>
      <c r="J31" s="114"/>
      <c r="K31" s="114"/>
      <c r="L31" s="114"/>
    </row>
    <row r="32" spans="1:12" ht="19.5" customHeight="1">
      <c r="A32" s="197"/>
      <c r="B32" s="116" t="s">
        <v>163</v>
      </c>
      <c r="C32" s="112" t="s">
        <v>101</v>
      </c>
      <c r="D32" s="113"/>
      <c r="E32" s="113"/>
      <c r="F32" s="115"/>
      <c r="G32" s="114">
        <v>15020</v>
      </c>
      <c r="H32" s="115">
        <f>+G32*2500/100000</f>
        <v>375.5</v>
      </c>
      <c r="I32" s="113">
        <f>+ROUND(G32/0.9*0.1,0)</f>
        <v>1669</v>
      </c>
      <c r="J32" s="115">
        <f>+I32*2500/100000</f>
        <v>41.725000000000001</v>
      </c>
      <c r="K32" s="114">
        <f>+I32+G32</f>
        <v>16689</v>
      </c>
      <c r="L32" s="115">
        <f>+K32*2500/100000</f>
        <v>417.22500000000002</v>
      </c>
    </row>
    <row r="33" spans="1:12" ht="19.5" customHeight="1">
      <c r="A33" s="198"/>
      <c r="B33" s="116" t="s">
        <v>164</v>
      </c>
      <c r="C33" s="112" t="s">
        <v>101</v>
      </c>
      <c r="D33" s="113"/>
      <c r="E33" s="113"/>
      <c r="F33" s="115"/>
      <c r="G33" s="114">
        <f>10600-59</f>
        <v>10541</v>
      </c>
      <c r="H33" s="115">
        <f>+G33*2500/100000</f>
        <v>263.52499999999998</v>
      </c>
      <c r="I33" s="113">
        <f>+ROUND(G33/0.9*0.1,0)</f>
        <v>1171</v>
      </c>
      <c r="J33" s="115">
        <f>+I33*2500/100000</f>
        <v>29.274999999999999</v>
      </c>
      <c r="K33" s="114">
        <f>+I33+G33</f>
        <v>11712</v>
      </c>
      <c r="L33" s="115">
        <f>+K33*2500/100000</f>
        <v>292.8</v>
      </c>
    </row>
    <row r="34" spans="1:12" ht="19.5" customHeight="1">
      <c r="A34" s="124"/>
      <c r="B34" s="120" t="s">
        <v>193</v>
      </c>
      <c r="C34" s="112"/>
      <c r="D34" s="113"/>
      <c r="E34" s="113"/>
      <c r="F34" s="115"/>
      <c r="G34" s="114">
        <f>SUM(G32:G33)</f>
        <v>25561</v>
      </c>
      <c r="H34" s="115">
        <f>SUM(H32:H33)</f>
        <v>639.02499999999998</v>
      </c>
      <c r="I34" s="113">
        <f t="shared" ref="I34" si="16">+ROUND(G34/0.9*0.1,0)</f>
        <v>2840</v>
      </c>
      <c r="J34" s="115">
        <f t="shared" si="12"/>
        <v>71</v>
      </c>
      <c r="K34" s="114">
        <f t="shared" ref="K34" si="17">+I34+G34</f>
        <v>28401</v>
      </c>
      <c r="L34" s="115">
        <f t="shared" ref="L34" si="18">+J34+H34</f>
        <v>710.02499999999998</v>
      </c>
    </row>
    <row r="35" spans="1:12" ht="19.5" customHeight="1">
      <c r="A35" s="124"/>
      <c r="B35" s="116"/>
      <c r="C35" s="112"/>
      <c r="D35" s="113"/>
      <c r="E35" s="113"/>
      <c r="F35" s="115"/>
      <c r="G35" s="114"/>
      <c r="H35" s="115"/>
      <c r="I35" s="113"/>
      <c r="J35" s="115"/>
      <c r="K35" s="114"/>
      <c r="L35" s="115"/>
    </row>
    <row r="36" spans="1:12" ht="19.5" customHeight="1">
      <c r="A36" s="196">
        <v>4</v>
      </c>
      <c r="B36" s="120" t="s">
        <v>103</v>
      </c>
      <c r="C36" s="112"/>
      <c r="D36" s="113"/>
      <c r="E36" s="113"/>
      <c r="F36" s="115"/>
      <c r="G36" s="114">
        <f>SUM(G24:G29)</f>
        <v>25620</v>
      </c>
      <c r="H36" s="115">
        <f t="shared" si="10"/>
        <v>640.5</v>
      </c>
      <c r="I36" s="113">
        <f t="shared" si="11"/>
        <v>2847</v>
      </c>
      <c r="J36" s="115">
        <f t="shared" si="12"/>
        <v>71.174999999999997</v>
      </c>
      <c r="K36" s="114">
        <f t="shared" si="13"/>
        <v>28467</v>
      </c>
      <c r="L36" s="115">
        <f t="shared" si="14"/>
        <v>711.67499999999995</v>
      </c>
    </row>
    <row r="37" spans="1:12" ht="19.5" customHeight="1">
      <c r="A37" s="197"/>
      <c r="B37" s="125" t="s">
        <v>104</v>
      </c>
      <c r="C37" s="112"/>
      <c r="D37" s="113"/>
      <c r="E37" s="113"/>
      <c r="F37" s="126"/>
      <c r="G37" s="126"/>
      <c r="H37" s="126"/>
      <c r="I37" s="113"/>
      <c r="J37" s="126"/>
      <c r="K37" s="113"/>
      <c r="L37" s="126"/>
    </row>
    <row r="38" spans="1:12" ht="19.5" customHeight="1">
      <c r="A38" s="197"/>
      <c r="B38" s="116" t="s">
        <v>105</v>
      </c>
      <c r="C38" s="112" t="s">
        <v>106</v>
      </c>
      <c r="D38" s="113" t="s">
        <v>10</v>
      </c>
      <c r="E38" s="113">
        <v>32000</v>
      </c>
      <c r="F38" s="115">
        <f>+ROUND(E38*500/100000,3)</f>
        <v>160</v>
      </c>
      <c r="G38" s="114">
        <v>27000</v>
      </c>
      <c r="H38" s="115">
        <f>+ROUND(G38*500/100000,3)</f>
        <v>135</v>
      </c>
      <c r="I38" s="113">
        <f>+ROUND(G38/0.9*0.1,0)</f>
        <v>3000</v>
      </c>
      <c r="J38" s="115">
        <f>+ROUND(I38*500/100000,3)</f>
        <v>15</v>
      </c>
      <c r="K38" s="114">
        <v>30000</v>
      </c>
      <c r="L38" s="115">
        <f t="shared" ref="K38:L41" si="19">+J38+H38</f>
        <v>150</v>
      </c>
    </row>
    <row r="39" spans="1:12" ht="19.5" customHeight="1">
      <c r="A39" s="197"/>
      <c r="B39" s="116" t="s">
        <v>107</v>
      </c>
      <c r="C39" s="112" t="s">
        <v>108</v>
      </c>
      <c r="D39" s="113" t="s">
        <v>10</v>
      </c>
      <c r="E39" s="113">
        <v>0</v>
      </c>
      <c r="F39" s="115">
        <v>0</v>
      </c>
      <c r="G39" s="114">
        <f>+E39/2</f>
        <v>0</v>
      </c>
      <c r="H39" s="115">
        <f>+ROUND(G39*750/100000,3)</f>
        <v>0</v>
      </c>
      <c r="I39" s="113">
        <f>+ROUND(G39/0.9*0.1,0)</f>
        <v>0</v>
      </c>
      <c r="J39" s="115">
        <f>+ROUND(I39*750/100000,3)</f>
        <v>0</v>
      </c>
      <c r="K39" s="114">
        <f t="shared" si="19"/>
        <v>0</v>
      </c>
      <c r="L39" s="115">
        <f t="shared" si="19"/>
        <v>0</v>
      </c>
    </row>
    <row r="40" spans="1:12" ht="19.5" customHeight="1">
      <c r="A40" s="197"/>
      <c r="B40" s="116" t="s">
        <v>109</v>
      </c>
      <c r="C40" s="112" t="s">
        <v>110</v>
      </c>
      <c r="D40" s="113" t="s">
        <v>10</v>
      </c>
      <c r="E40" s="113">
        <v>34000</v>
      </c>
      <c r="F40" s="115">
        <f>+ROUND(E40*1000/100000,3)</f>
        <v>340</v>
      </c>
      <c r="G40" s="114">
        <f>11846-2496</f>
        <v>9350</v>
      </c>
      <c r="H40" s="115">
        <f>+ROUND(G40*1000/100000,3)</f>
        <v>93.5</v>
      </c>
      <c r="I40" s="113">
        <f>+ROUND(G40/0.9*0.1,0)</f>
        <v>1039</v>
      </c>
      <c r="J40" s="115">
        <f>+ROUND(I40*1000/100000,3)+0.001</f>
        <v>10.391</v>
      </c>
      <c r="K40" s="114">
        <f t="shared" si="19"/>
        <v>10389</v>
      </c>
      <c r="L40" s="115">
        <f t="shared" si="19"/>
        <v>103.89100000000001</v>
      </c>
    </row>
    <row r="41" spans="1:12" ht="19.5" customHeight="1">
      <c r="A41" s="197"/>
      <c r="B41" s="116" t="s">
        <v>111</v>
      </c>
      <c r="C41" s="112" t="s">
        <v>166</v>
      </c>
      <c r="D41" s="113" t="s">
        <v>10</v>
      </c>
      <c r="E41" s="113">
        <v>64122</v>
      </c>
      <c r="F41" s="115">
        <f>+ROUND(E41*100/100000,3)</f>
        <v>64.122</v>
      </c>
      <c r="G41" s="114">
        <f>K41*0.9</f>
        <v>39838.5</v>
      </c>
      <c r="H41" s="115">
        <f>+ROUND(G41*300/100000,3)</f>
        <v>119.51600000000001</v>
      </c>
      <c r="I41" s="113">
        <f>+ROUND(G41/0.9*0.1,0)</f>
        <v>4427</v>
      </c>
      <c r="J41" s="115">
        <f>+ROUND(I41*300/100000,3)</f>
        <v>13.281000000000001</v>
      </c>
      <c r="K41" s="114">
        <f>35000+8346+835+84</f>
        <v>44265</v>
      </c>
      <c r="L41" s="115">
        <f t="shared" si="19"/>
        <v>132.797</v>
      </c>
    </row>
    <row r="42" spans="1:12" s="132" customFormat="1" ht="19.5" customHeight="1">
      <c r="A42" s="127"/>
      <c r="B42" s="128" t="s">
        <v>112</v>
      </c>
      <c r="C42" s="129"/>
      <c r="D42" s="130"/>
      <c r="E42" s="130"/>
      <c r="F42" s="131">
        <f>SUM(F38:F41)</f>
        <v>564.12199999999996</v>
      </c>
      <c r="G42" s="131"/>
      <c r="H42" s="131">
        <f>SUM(H38:H41)</f>
        <v>348.01600000000002</v>
      </c>
      <c r="I42" s="130"/>
      <c r="J42" s="131">
        <f>SUM(J38:J41)</f>
        <v>38.671999999999997</v>
      </c>
      <c r="K42" s="130"/>
      <c r="L42" s="131">
        <f>SUM(L38:L41)</f>
        <v>386.68799999999999</v>
      </c>
    </row>
    <row r="43" spans="1:12" ht="19.5" customHeight="1">
      <c r="A43" s="127"/>
      <c r="B43" s="125" t="s">
        <v>113</v>
      </c>
      <c r="C43" s="112"/>
      <c r="D43" s="113"/>
      <c r="E43" s="113"/>
      <c r="F43" s="126"/>
      <c r="G43" s="126"/>
      <c r="H43" s="126"/>
      <c r="I43" s="113"/>
      <c r="J43" s="126"/>
      <c r="K43" s="113"/>
      <c r="L43" s="126"/>
    </row>
    <row r="44" spans="1:12" ht="19.5" customHeight="1">
      <c r="A44" s="127"/>
      <c r="B44" s="116" t="s">
        <v>114</v>
      </c>
      <c r="C44" s="112" t="s">
        <v>106</v>
      </c>
      <c r="D44" s="113" t="s">
        <v>10</v>
      </c>
      <c r="E44" s="113">
        <v>14000</v>
      </c>
      <c r="F44" s="115">
        <f>+ROUND(E44*500/100000,3)</f>
        <v>70</v>
      </c>
      <c r="G44" s="114">
        <f>+K44*90%</f>
        <v>31500</v>
      </c>
      <c r="H44" s="115">
        <f>+ROUND(G44*500/100000,3)</f>
        <v>157.5</v>
      </c>
      <c r="I44" s="113">
        <f>+K44*10%</f>
        <v>3500</v>
      </c>
      <c r="J44" s="115">
        <f>+ROUND(I44*500/100000,3)</f>
        <v>17.5</v>
      </c>
      <c r="K44" s="114">
        <v>35000</v>
      </c>
      <c r="L44" s="115">
        <f>+J44+H44</f>
        <v>175</v>
      </c>
    </row>
    <row r="45" spans="1:12" ht="19.5" customHeight="1">
      <c r="A45" s="127"/>
      <c r="B45" s="116" t="s">
        <v>41</v>
      </c>
      <c r="C45" s="112" t="s">
        <v>106</v>
      </c>
      <c r="D45" s="113" t="s">
        <v>10</v>
      </c>
      <c r="E45" s="113">
        <f>9000+1304</f>
        <v>10304</v>
      </c>
      <c r="F45" s="115">
        <f>+ROUND(E45*500/100000,3)</f>
        <v>51.52</v>
      </c>
      <c r="G45" s="114">
        <f>+K45*90%</f>
        <v>27000</v>
      </c>
      <c r="H45" s="115">
        <f>+ROUND(G45*500/100000,3)</f>
        <v>135</v>
      </c>
      <c r="I45" s="113">
        <f>+ROUND(G45/0.9*0.1,0)</f>
        <v>3000</v>
      </c>
      <c r="J45" s="115">
        <f>+ROUND(I45*500/100000,3)</f>
        <v>15</v>
      </c>
      <c r="K45" s="114">
        <v>30000</v>
      </c>
      <c r="L45" s="115">
        <f>+J45+H45</f>
        <v>150</v>
      </c>
    </row>
    <row r="46" spans="1:12" s="132" customFormat="1" ht="19.5" customHeight="1">
      <c r="A46" s="127"/>
      <c r="B46" s="128" t="s">
        <v>115</v>
      </c>
      <c r="C46" s="129"/>
      <c r="D46" s="130"/>
      <c r="E46" s="130"/>
      <c r="F46" s="131">
        <f>SUM(F44:F45)</f>
        <v>121.52000000000001</v>
      </c>
      <c r="G46" s="131"/>
      <c r="H46" s="131">
        <f>SUM(H44:H45)</f>
        <v>292.5</v>
      </c>
      <c r="I46" s="130"/>
      <c r="J46" s="131">
        <f>SUM(J44:J45)</f>
        <v>32.5</v>
      </c>
      <c r="K46" s="114"/>
      <c r="L46" s="131">
        <f>SUM(L44:L45)</f>
        <v>325</v>
      </c>
    </row>
    <row r="47" spans="1:12" s="106" customFormat="1" ht="19.5" customHeight="1">
      <c r="A47" s="133"/>
      <c r="B47" s="120" t="s">
        <v>116</v>
      </c>
      <c r="C47" s="121"/>
      <c r="D47" s="109"/>
      <c r="E47" s="109"/>
      <c r="F47" s="122">
        <f>+F42+F46</f>
        <v>685.64199999999994</v>
      </c>
      <c r="G47" s="122"/>
      <c r="H47" s="122">
        <f>+H42+H46</f>
        <v>640.51600000000008</v>
      </c>
      <c r="I47" s="109"/>
      <c r="J47" s="122">
        <f>+J42+J46</f>
        <v>71.171999999999997</v>
      </c>
      <c r="K47" s="109"/>
      <c r="L47" s="122">
        <f>+L42+L46</f>
        <v>711.68799999999999</v>
      </c>
    </row>
    <row r="48" spans="1:12" ht="19.5" customHeight="1">
      <c r="A48" s="196">
        <v>4</v>
      </c>
      <c r="B48" s="111" t="s">
        <v>117</v>
      </c>
      <c r="C48" s="112"/>
      <c r="D48" s="113"/>
      <c r="E48" s="113"/>
      <c r="F48" s="126"/>
      <c r="G48" s="126"/>
      <c r="H48" s="126"/>
      <c r="I48" s="113"/>
      <c r="J48" s="126"/>
      <c r="K48" s="113"/>
      <c r="L48" s="126"/>
    </row>
    <row r="49" spans="1:12" ht="19.5" customHeight="1">
      <c r="A49" s="197"/>
      <c r="B49" s="103" t="s">
        <v>118</v>
      </c>
      <c r="C49" s="112" t="s">
        <v>119</v>
      </c>
      <c r="D49" s="113" t="s">
        <v>46</v>
      </c>
      <c r="E49" s="113">
        <v>3000</v>
      </c>
      <c r="F49" s="115">
        <f>+ROUND(E49*600/100000,3)</f>
        <v>18</v>
      </c>
      <c r="G49" s="114">
        <v>1359</v>
      </c>
      <c r="H49" s="115">
        <f>+ROUND(G49*600/100000,3)</f>
        <v>8.1539999999999999</v>
      </c>
      <c r="I49" s="114">
        <v>153</v>
      </c>
      <c r="J49" s="115">
        <f>+ROUND(I49*600/100000,3)</f>
        <v>0.91800000000000004</v>
      </c>
      <c r="K49" s="114">
        <f>+G49+I49</f>
        <v>1512</v>
      </c>
      <c r="L49" s="115">
        <f>+ROUND(K49*600/100000,3)</f>
        <v>9.0719999999999992</v>
      </c>
    </row>
    <row r="50" spans="1:12" ht="19.5" customHeight="1">
      <c r="A50" s="197"/>
      <c r="B50" s="103" t="s">
        <v>120</v>
      </c>
      <c r="C50" s="144" t="s">
        <v>121</v>
      </c>
      <c r="D50" s="113" t="s">
        <v>46</v>
      </c>
      <c r="E50" s="113">
        <v>150</v>
      </c>
      <c r="F50" s="115">
        <f>+ROUND(E50*3000/100000,3)</f>
        <v>4.5</v>
      </c>
      <c r="G50" s="114">
        <v>0</v>
      </c>
      <c r="H50" s="115">
        <f>+ROUND(G50*3000/100000,3)</f>
        <v>0</v>
      </c>
      <c r="I50" s="113">
        <v>0</v>
      </c>
      <c r="J50" s="115">
        <f>+ROUND(I50*3000/100000,3)</f>
        <v>0</v>
      </c>
      <c r="K50" s="114">
        <v>0</v>
      </c>
      <c r="L50" s="115">
        <v>0</v>
      </c>
    </row>
    <row r="51" spans="1:12" ht="19.5" customHeight="1">
      <c r="A51" s="197"/>
      <c r="B51" s="103" t="s">
        <v>122</v>
      </c>
      <c r="C51" s="144" t="s">
        <v>123</v>
      </c>
      <c r="D51" s="113" t="s">
        <v>46</v>
      </c>
      <c r="E51" s="113">
        <v>200</v>
      </c>
      <c r="F51" s="115">
        <f>+ROUND(E51*35000/100000,3)</f>
        <v>70</v>
      </c>
      <c r="G51" s="114">
        <v>90</v>
      </c>
      <c r="H51" s="115">
        <f>+ROUND(G51*35000/100000,3)</f>
        <v>31.5</v>
      </c>
      <c r="I51" s="114">
        <v>10</v>
      </c>
      <c r="J51" s="115">
        <f>+ROUND(I51*35000/100000,3)</f>
        <v>3.5</v>
      </c>
      <c r="K51" s="114">
        <f>+G51+I51</f>
        <v>100</v>
      </c>
      <c r="L51" s="115">
        <v>35</v>
      </c>
    </row>
    <row r="52" spans="1:12" ht="19.5" customHeight="1">
      <c r="A52" s="197"/>
      <c r="B52" s="103" t="s">
        <v>124</v>
      </c>
      <c r="C52" s="112" t="s">
        <v>125</v>
      </c>
      <c r="D52" s="113" t="s">
        <v>46</v>
      </c>
      <c r="E52" s="113">
        <v>20</v>
      </c>
      <c r="F52" s="115">
        <f>+ROUND(E52*40000/100000,3)</f>
        <v>8</v>
      </c>
      <c r="G52" s="114">
        <v>0</v>
      </c>
      <c r="H52" s="115">
        <f>+ROUND(G52*40000/100000,3)</f>
        <v>0</v>
      </c>
      <c r="I52" s="113">
        <v>0</v>
      </c>
      <c r="J52" s="115">
        <f>+ROUND(I52*40000/100000,3)</f>
        <v>0</v>
      </c>
      <c r="K52" s="114">
        <v>0</v>
      </c>
      <c r="L52" s="115">
        <v>0</v>
      </c>
    </row>
    <row r="53" spans="1:12" ht="19.5" customHeight="1">
      <c r="A53" s="134"/>
      <c r="B53" s="103"/>
      <c r="C53" s="112"/>
      <c r="D53" s="113"/>
      <c r="E53" s="113"/>
      <c r="F53" s="115"/>
      <c r="G53" s="114"/>
      <c r="H53" s="115"/>
      <c r="I53" s="114"/>
      <c r="J53" s="115"/>
      <c r="K53" s="115"/>
      <c r="L53" s="115"/>
    </row>
    <row r="54" spans="1:12" ht="19.5" customHeight="1">
      <c r="A54" s="196">
        <v>5</v>
      </c>
      <c r="B54" s="121" t="s">
        <v>126</v>
      </c>
      <c r="C54" s="135"/>
      <c r="D54" s="136"/>
      <c r="E54" s="119"/>
      <c r="F54" s="137"/>
      <c r="G54" s="137"/>
      <c r="H54" s="137"/>
      <c r="I54" s="161"/>
      <c r="J54" s="137"/>
      <c r="K54" s="119"/>
      <c r="L54" s="137"/>
    </row>
    <row r="55" spans="1:12" ht="19.5" customHeight="1">
      <c r="A55" s="197"/>
      <c r="B55" s="103" t="s">
        <v>127</v>
      </c>
      <c r="C55" s="112" t="s">
        <v>54</v>
      </c>
      <c r="D55" s="113" t="s">
        <v>46</v>
      </c>
      <c r="E55" s="113">
        <v>300</v>
      </c>
      <c r="F55" s="115">
        <f>+E55*75000/100000</f>
        <v>225</v>
      </c>
      <c r="G55" s="114">
        <v>540</v>
      </c>
      <c r="H55" s="115">
        <f>+ROUND(G55*75000/100000,3)</f>
        <v>405</v>
      </c>
      <c r="I55" s="114">
        <v>62</v>
      </c>
      <c r="J55" s="115">
        <f>+ROUND(I55*75000/100000,3)</f>
        <v>46.5</v>
      </c>
      <c r="K55" s="114">
        <f>+G55+I55</f>
        <v>602</v>
      </c>
      <c r="L55" s="115">
        <f>+K55*75000/100000</f>
        <v>451.5</v>
      </c>
    </row>
    <row r="56" spans="1:12" ht="19.5" customHeight="1">
      <c r="A56" s="198"/>
      <c r="B56" s="111" t="s">
        <v>128</v>
      </c>
      <c r="C56" s="135"/>
      <c r="D56" s="136"/>
      <c r="E56" s="119"/>
      <c r="F56" s="137">
        <f>+F55</f>
        <v>225</v>
      </c>
      <c r="G56" s="137"/>
      <c r="H56" s="137">
        <f>SUM(H49:H55)</f>
        <v>444.654</v>
      </c>
      <c r="I56" s="166">
        <v>62</v>
      </c>
      <c r="J56" s="137">
        <f>SUM(J49:J55)</f>
        <v>50.917999999999999</v>
      </c>
      <c r="K56" s="137"/>
      <c r="L56" s="137">
        <f>SUM(L49:L55)</f>
        <v>495.572</v>
      </c>
    </row>
    <row r="57" spans="1:12" ht="19.5" customHeight="1">
      <c r="A57" s="119"/>
      <c r="B57" s="111"/>
      <c r="C57" s="135"/>
      <c r="D57" s="136"/>
      <c r="E57" s="119"/>
      <c r="F57" s="137"/>
      <c r="G57" s="137"/>
      <c r="H57" s="137"/>
      <c r="I57" s="161"/>
      <c r="J57" s="137"/>
      <c r="K57" s="119"/>
      <c r="L57" s="137"/>
    </row>
    <row r="58" spans="1:12" ht="19.5" customHeight="1">
      <c r="A58" s="119">
        <v>6</v>
      </c>
      <c r="B58" s="111" t="s">
        <v>129</v>
      </c>
      <c r="C58" s="135"/>
      <c r="D58" s="136"/>
      <c r="E58" s="119"/>
      <c r="F58" s="137"/>
      <c r="G58" s="137"/>
      <c r="H58" s="137"/>
      <c r="I58" s="161"/>
      <c r="J58" s="137"/>
      <c r="K58" s="119"/>
      <c r="L58" s="137"/>
    </row>
    <row r="59" spans="1:12" ht="19.5" customHeight="1">
      <c r="A59" s="138"/>
      <c r="B59" s="103" t="s">
        <v>130</v>
      </c>
      <c r="C59" s="112" t="s">
        <v>131</v>
      </c>
      <c r="D59" s="113" t="s">
        <v>35</v>
      </c>
      <c r="E59" s="113">
        <v>27</v>
      </c>
      <c r="F59" s="115">
        <f>+ROUND(E59*10000/100000,3)</f>
        <v>2.7</v>
      </c>
      <c r="G59" s="114">
        <v>0</v>
      </c>
      <c r="H59" s="115">
        <f>+ROUND(G59*10000/100000,3)</f>
        <v>0</v>
      </c>
      <c r="I59" s="113">
        <v>0</v>
      </c>
      <c r="J59" s="115">
        <f>+ROUND(I59*10000/100000,3)</f>
        <v>0</v>
      </c>
      <c r="K59" s="114">
        <v>0</v>
      </c>
      <c r="L59" s="115">
        <v>0</v>
      </c>
    </row>
    <row r="60" spans="1:12" ht="19.5" customHeight="1">
      <c r="A60" s="138"/>
      <c r="B60" s="103" t="s">
        <v>132</v>
      </c>
      <c r="C60" s="112" t="s">
        <v>133</v>
      </c>
      <c r="D60" s="139" t="s">
        <v>46</v>
      </c>
      <c r="E60" s="140">
        <v>2500</v>
      </c>
      <c r="F60" s="115">
        <f>+ROUND(E60*10000/100000,3)</f>
        <v>250</v>
      </c>
      <c r="G60" s="114">
        <v>1405</v>
      </c>
      <c r="H60" s="115">
        <f>+ROUND(G60*10000/100000,3)</f>
        <v>140.5</v>
      </c>
      <c r="I60" s="114">
        <v>157</v>
      </c>
      <c r="J60" s="115">
        <f>+ROUND(I60*10000/100000,3)</f>
        <v>15.7</v>
      </c>
      <c r="K60" s="114">
        <f>+G60+I60</f>
        <v>1562</v>
      </c>
      <c r="L60" s="115">
        <f>+K60*10000/100000</f>
        <v>156.19999999999999</v>
      </c>
    </row>
    <row r="61" spans="1:12" ht="39" customHeight="1">
      <c r="A61" s="138"/>
      <c r="B61" s="103" t="s">
        <v>134</v>
      </c>
      <c r="C61" s="112" t="s">
        <v>135</v>
      </c>
      <c r="D61" s="139" t="s">
        <v>136</v>
      </c>
      <c r="E61" s="139">
        <v>350000</v>
      </c>
      <c r="F61" s="115">
        <f>+ROUND(E61*25/100000,3)</f>
        <v>87.5</v>
      </c>
      <c r="G61" s="114">
        <v>221370</v>
      </c>
      <c r="H61" s="115">
        <f>+ROUND(G61*25/100000,3)</f>
        <v>55.343000000000004</v>
      </c>
      <c r="I61" s="114">
        <v>24981</v>
      </c>
      <c r="J61" s="115">
        <f>+ROUND(I61*25/100000,3)</f>
        <v>6.2450000000000001</v>
      </c>
      <c r="K61" s="114">
        <f>+G61+I61</f>
        <v>246351</v>
      </c>
      <c r="L61" s="115">
        <f>+K61*25/100000</f>
        <v>61.58775</v>
      </c>
    </row>
    <row r="62" spans="1:12" s="106" customFormat="1" ht="19.5" customHeight="1">
      <c r="A62" s="138"/>
      <c r="B62" s="120" t="s">
        <v>137</v>
      </c>
      <c r="C62" s="121"/>
      <c r="D62" s="119"/>
      <c r="E62" s="119"/>
      <c r="F62" s="122">
        <f>+SUM(F59:F61)</f>
        <v>340.2</v>
      </c>
      <c r="G62" s="122"/>
      <c r="H62" s="122">
        <f>SUM(H59:H61)</f>
        <v>195.84300000000002</v>
      </c>
      <c r="I62" s="141">
        <f t="shared" ref="I62:K62" si="20">SUM(I59:I61)</f>
        <v>25138</v>
      </c>
      <c r="J62" s="122">
        <f t="shared" si="20"/>
        <v>21.945</v>
      </c>
      <c r="K62" s="141">
        <f t="shared" si="20"/>
        <v>247913</v>
      </c>
      <c r="L62" s="122">
        <f>SUM(L59:L61)</f>
        <v>217.78774999999999</v>
      </c>
    </row>
    <row r="63" spans="1:12" s="106" customFormat="1" ht="19.5" customHeight="1">
      <c r="A63" s="138"/>
      <c r="B63" s="120"/>
      <c r="C63" s="121"/>
      <c r="D63" s="119"/>
      <c r="E63" s="119"/>
      <c r="F63" s="122"/>
      <c r="G63" s="122"/>
      <c r="H63" s="122">
        <f>+H62+H56</f>
        <v>640.49700000000007</v>
      </c>
      <c r="I63" s="141">
        <f t="shared" ref="I63:L63" si="21">+I62+I56</f>
        <v>25200</v>
      </c>
      <c r="J63" s="122">
        <f t="shared" si="21"/>
        <v>72.863</v>
      </c>
      <c r="K63" s="141">
        <f t="shared" si="21"/>
        <v>247913</v>
      </c>
      <c r="L63" s="122">
        <f t="shared" si="21"/>
        <v>713.35974999999996</v>
      </c>
    </row>
    <row r="64" spans="1:12" ht="75.75" customHeight="1">
      <c r="A64" s="119">
        <v>7</v>
      </c>
      <c r="B64" s="103" t="s">
        <v>188</v>
      </c>
      <c r="C64" s="112" t="s">
        <v>138</v>
      </c>
      <c r="D64" s="139" t="s">
        <v>46</v>
      </c>
      <c r="E64" s="139">
        <v>317</v>
      </c>
      <c r="F64" s="115">
        <f>+ROUND(E64*14000/100000,3)</f>
        <v>44.38</v>
      </c>
      <c r="G64" s="114">
        <v>305</v>
      </c>
      <c r="H64" s="115">
        <f>+ROUND(G64*14000/100000,3)</f>
        <v>42.7</v>
      </c>
      <c r="I64" s="113">
        <v>34</v>
      </c>
      <c r="J64" s="115">
        <f>+ROUND(I64*14000/100000,3)</f>
        <v>4.76</v>
      </c>
      <c r="K64" s="114">
        <f>+G64+I64</f>
        <v>339</v>
      </c>
      <c r="L64" s="115">
        <f>+J64+H64</f>
        <v>47.46</v>
      </c>
    </row>
    <row r="65" spans="1:12" ht="19.5" customHeight="1">
      <c r="A65" s="119"/>
      <c r="B65" s="103"/>
      <c r="C65" s="112"/>
      <c r="D65" s="139"/>
      <c r="E65" s="139"/>
      <c r="F65" s="115"/>
      <c r="G65" s="115"/>
      <c r="H65" s="115"/>
      <c r="I65" s="139"/>
      <c r="J65" s="115"/>
      <c r="K65" s="113"/>
      <c r="L65" s="115"/>
    </row>
    <row r="66" spans="1:12" ht="19.5" customHeight="1">
      <c r="A66" s="195">
        <v>8</v>
      </c>
      <c r="B66" s="192" t="s">
        <v>139</v>
      </c>
      <c r="C66" s="193"/>
      <c r="D66" s="193"/>
      <c r="E66" s="193"/>
      <c r="F66" s="193"/>
      <c r="G66" s="193"/>
      <c r="H66" s="193"/>
      <c r="I66" s="193"/>
      <c r="J66" s="193"/>
      <c r="K66" s="193"/>
      <c r="L66" s="194"/>
    </row>
    <row r="67" spans="1:12" ht="35.25" customHeight="1">
      <c r="A67" s="195"/>
      <c r="B67" s="103" t="s">
        <v>140</v>
      </c>
      <c r="C67" s="112"/>
      <c r="D67" s="112" t="s">
        <v>141</v>
      </c>
      <c r="E67" s="139">
        <v>14</v>
      </c>
      <c r="F67" s="142">
        <f>+E67*12</f>
        <v>168</v>
      </c>
      <c r="G67" s="142">
        <v>14</v>
      </c>
      <c r="H67" s="142">
        <f>168*0.9</f>
        <v>151.20000000000002</v>
      </c>
      <c r="I67" s="139"/>
      <c r="J67" s="142">
        <f>+L67-H67</f>
        <v>16.799999999999983</v>
      </c>
      <c r="K67" s="113">
        <f>+E67+I67</f>
        <v>14</v>
      </c>
      <c r="L67" s="142">
        <f>+K67*12</f>
        <v>168</v>
      </c>
    </row>
    <row r="68" spans="1:12" ht="19.5" customHeight="1">
      <c r="A68" s="195"/>
      <c r="B68" s="103" t="s">
        <v>142</v>
      </c>
      <c r="C68" s="112"/>
      <c r="D68" s="113"/>
      <c r="E68" s="139">
        <v>1</v>
      </c>
      <c r="F68" s="142">
        <v>17</v>
      </c>
      <c r="G68" s="142">
        <v>1</v>
      </c>
      <c r="H68" s="142">
        <v>15.3</v>
      </c>
      <c r="I68" s="139"/>
      <c r="J68" s="142">
        <f>+L68-H68</f>
        <v>1.6999999999999993</v>
      </c>
      <c r="K68" s="113">
        <f>+E68+I68</f>
        <v>1</v>
      </c>
      <c r="L68" s="142">
        <v>17</v>
      </c>
    </row>
    <row r="69" spans="1:12" ht="19.5" customHeight="1">
      <c r="A69" s="119"/>
      <c r="B69" s="120" t="s">
        <v>191</v>
      </c>
      <c r="C69" s="112"/>
      <c r="D69" s="113"/>
      <c r="E69" s="139"/>
      <c r="F69" s="137">
        <f>+F67+F68</f>
        <v>185</v>
      </c>
      <c r="G69" s="137"/>
      <c r="H69" s="137">
        <f>+H67+H68</f>
        <v>166.50000000000003</v>
      </c>
      <c r="I69" s="139"/>
      <c r="J69" s="137">
        <f>+J67+J68</f>
        <v>18.499999999999982</v>
      </c>
      <c r="K69" s="139"/>
      <c r="L69" s="137">
        <f>+L67+L68</f>
        <v>185</v>
      </c>
    </row>
    <row r="70" spans="1:12" ht="19.5" customHeight="1">
      <c r="A70" s="136">
        <v>9</v>
      </c>
      <c r="B70" s="143" t="s">
        <v>185</v>
      </c>
      <c r="C70" s="144"/>
      <c r="D70" s="144"/>
      <c r="E70" s="140" t="s">
        <v>143</v>
      </c>
      <c r="F70" s="145">
        <v>0</v>
      </c>
      <c r="G70" s="145"/>
      <c r="H70" s="145"/>
      <c r="I70" s="140" t="s">
        <v>143</v>
      </c>
      <c r="J70" s="145"/>
      <c r="K70" s="140" t="s">
        <v>143</v>
      </c>
      <c r="L70" s="145"/>
    </row>
    <row r="71" spans="1:12" ht="19.5" customHeight="1">
      <c r="A71" s="127"/>
      <c r="B71" s="146" t="s">
        <v>189</v>
      </c>
      <c r="C71" s="144">
        <v>10000</v>
      </c>
      <c r="D71" s="144" t="s">
        <v>186</v>
      </c>
      <c r="E71" s="140"/>
      <c r="F71" s="145"/>
      <c r="G71" s="145">
        <v>1049.7</v>
      </c>
      <c r="H71" s="145">
        <f>+C71*G71/100000</f>
        <v>104.97</v>
      </c>
      <c r="I71" s="140">
        <f>1591+8</f>
        <v>1599</v>
      </c>
      <c r="J71" s="145">
        <f>+I71*G71/100000</f>
        <v>16.784703</v>
      </c>
      <c r="K71" s="140">
        <f>+C71+I71</f>
        <v>11599</v>
      </c>
      <c r="L71" s="145">
        <f>+H71+J71</f>
        <v>121.75470300000001</v>
      </c>
    </row>
    <row r="72" spans="1:12" ht="19.5" customHeight="1">
      <c r="A72" s="127"/>
      <c r="B72" s="146" t="s">
        <v>207</v>
      </c>
      <c r="C72" s="144">
        <v>4304</v>
      </c>
      <c r="D72" s="144"/>
      <c r="E72" s="140"/>
      <c r="F72" s="145"/>
      <c r="G72" s="145">
        <v>1049.7</v>
      </c>
      <c r="H72" s="145">
        <f>+C72*G72/100000</f>
        <v>45.179088</v>
      </c>
      <c r="I72" s="140"/>
      <c r="J72" s="145"/>
      <c r="K72" s="139">
        <v>4304</v>
      </c>
      <c r="L72" s="145">
        <f>+G72*K72/100000</f>
        <v>45.179088</v>
      </c>
    </row>
    <row r="73" spans="1:12" ht="19.5" customHeight="1">
      <c r="A73" s="127"/>
      <c r="B73" s="146" t="s">
        <v>190</v>
      </c>
      <c r="C73" s="144">
        <v>1796</v>
      </c>
      <c r="D73" s="144" t="s">
        <v>172</v>
      </c>
      <c r="E73" s="140"/>
      <c r="F73" s="145"/>
      <c r="G73" s="145">
        <v>10430</v>
      </c>
      <c r="H73" s="145">
        <f>+C73*10430/100000</f>
        <v>187.3228</v>
      </c>
      <c r="I73" s="140">
        <v>208</v>
      </c>
      <c r="J73" s="145">
        <f>+I73*G73/100000</f>
        <v>21.694400000000002</v>
      </c>
      <c r="K73" s="140">
        <f>+C73+I73</f>
        <v>2004</v>
      </c>
      <c r="L73" s="145">
        <f>+H73+J73</f>
        <v>209.0172</v>
      </c>
    </row>
    <row r="74" spans="1:12" ht="19.5" customHeight="1">
      <c r="A74" s="127"/>
      <c r="B74" s="146" t="s">
        <v>206</v>
      </c>
      <c r="C74" s="144">
        <v>1419</v>
      </c>
      <c r="D74" s="144" t="s">
        <v>209</v>
      </c>
      <c r="E74" s="140"/>
      <c r="F74" s="145"/>
      <c r="G74" s="145">
        <v>3300</v>
      </c>
      <c r="H74" s="145">
        <f>+C74*G74/100000</f>
        <v>46.826999999999998</v>
      </c>
      <c r="I74" s="140"/>
      <c r="J74" s="145"/>
      <c r="K74" s="144">
        <v>1419</v>
      </c>
      <c r="L74" s="145">
        <f>+G74*K74/100000</f>
        <v>46.826999999999998</v>
      </c>
    </row>
    <row r="75" spans="1:12" ht="19.5" customHeight="1">
      <c r="A75" s="127"/>
      <c r="B75" s="120" t="s">
        <v>192</v>
      </c>
      <c r="C75" s="144"/>
      <c r="D75" s="144"/>
      <c r="E75" s="140"/>
      <c r="F75" s="145"/>
      <c r="G75" s="145"/>
      <c r="H75" s="145">
        <f>+H71+H73+H74+H72</f>
        <v>384.29888799999998</v>
      </c>
      <c r="I75" s="140"/>
      <c r="J75" s="145">
        <f>+J71+J73</f>
        <v>38.479103000000002</v>
      </c>
      <c r="K75" s="140"/>
      <c r="L75" s="145">
        <f>+L71+L73+L74+L72</f>
        <v>422.77799099999999</v>
      </c>
    </row>
    <row r="76" spans="1:12" ht="19.5" customHeight="1">
      <c r="A76" s="127">
        <v>10</v>
      </c>
      <c r="B76" s="120" t="s">
        <v>144</v>
      </c>
      <c r="C76" s="135"/>
      <c r="D76" s="135"/>
      <c r="E76" s="139"/>
      <c r="F76" s="147"/>
      <c r="G76" s="147"/>
      <c r="H76" s="147"/>
      <c r="I76" s="139"/>
      <c r="J76" s="147"/>
      <c r="K76" s="139"/>
      <c r="L76" s="147"/>
    </row>
    <row r="77" spans="1:12" ht="19.5" customHeight="1">
      <c r="A77" s="127"/>
      <c r="B77" s="103" t="s">
        <v>145</v>
      </c>
      <c r="C77" s="135"/>
      <c r="D77" s="135"/>
      <c r="E77" s="139" t="s">
        <v>143</v>
      </c>
      <c r="F77" s="147">
        <v>0</v>
      </c>
      <c r="G77" s="147"/>
      <c r="H77" s="147">
        <v>0</v>
      </c>
      <c r="I77" s="139" t="s">
        <v>143</v>
      </c>
      <c r="J77" s="147">
        <v>0</v>
      </c>
      <c r="K77" s="139" t="s">
        <v>143</v>
      </c>
      <c r="L77" s="147">
        <f>+F77+J77</f>
        <v>0</v>
      </c>
    </row>
    <row r="78" spans="1:12" s="106" customFormat="1" ht="19.5" customHeight="1">
      <c r="A78" s="133"/>
      <c r="B78" s="120" t="s">
        <v>146</v>
      </c>
      <c r="C78" s="148"/>
      <c r="D78" s="148"/>
      <c r="E78" s="119"/>
      <c r="F78" s="149">
        <v>0</v>
      </c>
      <c r="G78" s="149"/>
      <c r="H78" s="149">
        <v>0</v>
      </c>
      <c r="I78" s="119"/>
      <c r="J78" s="149">
        <f>+J77</f>
        <v>0</v>
      </c>
      <c r="K78" s="119"/>
      <c r="L78" s="149">
        <f>+L77</f>
        <v>0</v>
      </c>
    </row>
    <row r="79" spans="1:12" s="106" customFormat="1" ht="19.5" customHeight="1">
      <c r="A79" s="133"/>
      <c r="B79" s="120" t="s">
        <v>147</v>
      </c>
      <c r="C79" s="148"/>
      <c r="D79" s="148"/>
      <c r="E79" s="119"/>
      <c r="F79" s="149" t="e">
        <f>+F22+F23+F47+#REF!+F64+F62+F56</f>
        <v>#REF!</v>
      </c>
      <c r="G79" s="149"/>
      <c r="H79" s="149">
        <f>+H75+H64+H63+H47+H34+H30+H22</f>
        <v>4270.0368880000005</v>
      </c>
      <c r="I79" s="119"/>
      <c r="J79" s="149">
        <f>+J75+J64+J63+J47+J34+J30+J22</f>
        <v>474.44910299999998</v>
      </c>
      <c r="K79" s="119"/>
      <c r="L79" s="149">
        <f>+L75+L64+L63+L47+L34+L30+L22</f>
        <v>4744.4857410000004</v>
      </c>
    </row>
    <row r="80" spans="1:12" s="106" customFormat="1" ht="19.5" customHeight="1">
      <c r="A80" s="133"/>
      <c r="B80" s="120" t="s">
        <v>148</v>
      </c>
      <c r="C80" s="148"/>
      <c r="D80" s="148"/>
      <c r="E80" s="119"/>
      <c r="F80" s="149" t="e">
        <f>+F79+F69</f>
        <v>#REF!</v>
      </c>
      <c r="G80" s="149"/>
      <c r="H80" s="149">
        <f>+H75+H69+H64+H63+H47+H34+H30+H22</f>
        <v>4436.5368880000005</v>
      </c>
      <c r="I80" s="149"/>
      <c r="J80" s="149">
        <f>+J75+J69+J64+J63+J47+J34+J30+J22</f>
        <v>492.94910299999998</v>
      </c>
      <c r="K80" s="149"/>
      <c r="L80" s="149">
        <f>+L75+L69+L64+L63+L47+L34+L30+L22</f>
        <v>4929.4857410000004</v>
      </c>
    </row>
    <row r="81" spans="2:12" ht="19.5" customHeight="1">
      <c r="J81" s="152"/>
      <c r="K81" s="152"/>
    </row>
    <row r="82" spans="2:12" ht="19.5" customHeight="1">
      <c r="I82" s="152"/>
    </row>
    <row r="83" spans="2:12" ht="19.5" customHeight="1">
      <c r="B83" s="8" t="s">
        <v>195</v>
      </c>
      <c r="E83" s="153" t="s">
        <v>149</v>
      </c>
      <c r="F83" s="153"/>
      <c r="G83" s="154"/>
      <c r="I83" s="155"/>
      <c r="J83" s="11" t="s">
        <v>197</v>
      </c>
      <c r="K83" s="10"/>
      <c r="L83" s="11"/>
    </row>
    <row r="84" spans="2:12" ht="18.75">
      <c r="B84" s="8" t="s">
        <v>196</v>
      </c>
      <c r="E84" s="153" t="s">
        <v>150</v>
      </c>
      <c r="F84" s="153"/>
      <c r="G84" s="154"/>
      <c r="I84" s="108"/>
    </row>
    <row r="85" spans="2:12" ht="19.5" customHeight="1">
      <c r="B85" s="8" t="s">
        <v>151</v>
      </c>
      <c r="E85" s="153" t="s">
        <v>152</v>
      </c>
      <c r="F85" s="153"/>
      <c r="G85" s="153"/>
      <c r="I85" s="108"/>
    </row>
    <row r="86" spans="2:12" ht="19.5" customHeight="1">
      <c r="B86" s="156"/>
      <c r="I86" s="108"/>
      <c r="L86" s="108"/>
    </row>
  </sheetData>
  <mergeCells count="18">
    <mergeCell ref="B66:L66"/>
    <mergeCell ref="D4:D6"/>
    <mergeCell ref="C4:C6"/>
    <mergeCell ref="B4:B6"/>
    <mergeCell ref="A4:A6"/>
    <mergeCell ref="A66:A68"/>
    <mergeCell ref="A36:A41"/>
    <mergeCell ref="A23:A29"/>
    <mergeCell ref="A31:A33"/>
    <mergeCell ref="A7:A16"/>
    <mergeCell ref="A48:A52"/>
    <mergeCell ref="A54:A56"/>
    <mergeCell ref="A1:L1"/>
    <mergeCell ref="E5:F5"/>
    <mergeCell ref="G5:H5"/>
    <mergeCell ref="I5:J5"/>
    <mergeCell ref="G4:J4"/>
    <mergeCell ref="K4:L5"/>
  </mergeCells>
  <pageMargins left="0.55118110236220474" right="0.27559055118110237" top="0.43307086614173229" bottom="0.35433070866141736" header="0.31496062992125984" footer="0.31496062992125984"/>
  <pageSetup paperSize="9" scale="74" orientation="portrait" r:id="rId1"/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2"/>
  <sheetViews>
    <sheetView tabSelected="1" topLeftCell="A40" zoomScaleNormal="100" workbookViewId="0">
      <selection activeCell="C88" sqref="C88"/>
    </sheetView>
  </sheetViews>
  <sheetFormatPr defaultRowHeight="12.75"/>
  <cols>
    <col min="1" max="1" width="4.85546875" style="9" customWidth="1"/>
    <col min="2" max="2" width="44" style="8" customWidth="1"/>
    <col min="3" max="3" width="17.85546875" style="9" customWidth="1"/>
    <col min="4" max="4" width="7.140625" style="12" customWidth="1"/>
    <col min="5" max="5" width="7" style="10" hidden="1" customWidth="1"/>
    <col min="6" max="6" width="10.5703125" style="11" hidden="1" customWidth="1"/>
    <col min="7" max="7" width="13.7109375" style="11" bestFit="1" customWidth="1"/>
    <col min="8" max="8" width="11.42578125" style="11" customWidth="1"/>
    <col min="9" max="9" width="7.7109375" style="10" customWidth="1"/>
    <col min="10" max="10" width="11" style="11" customWidth="1"/>
    <col min="11" max="11" width="10.5703125" style="10" customWidth="1"/>
    <col min="12" max="12" width="14.28515625" style="11" customWidth="1"/>
    <col min="13" max="16384" width="9.140625" style="9"/>
  </cols>
  <sheetData>
    <row r="1" spans="1:12" s="17" customFormat="1">
      <c r="A1" s="208" t="s">
        <v>183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>
      <c r="A2" s="5" t="s">
        <v>0</v>
      </c>
      <c r="F2" s="10"/>
      <c r="G2" s="10"/>
      <c r="H2" s="10"/>
      <c r="J2" s="10"/>
      <c r="L2" s="10" t="s">
        <v>1</v>
      </c>
    </row>
    <row r="3" spans="1:12">
      <c r="A3" s="5"/>
      <c r="F3" s="10"/>
      <c r="G3" s="10"/>
      <c r="H3" s="10"/>
      <c r="J3" s="10"/>
      <c r="L3" s="10"/>
    </row>
    <row r="4" spans="1:12" s="5" customFormat="1">
      <c r="A4" s="174" t="s">
        <v>2</v>
      </c>
      <c r="B4" s="204" t="s">
        <v>3</v>
      </c>
      <c r="C4" s="174" t="s">
        <v>4</v>
      </c>
      <c r="D4" s="174" t="s">
        <v>5</v>
      </c>
      <c r="E4" s="168" t="s">
        <v>6</v>
      </c>
      <c r="F4" s="169"/>
      <c r="G4" s="168" t="s">
        <v>74</v>
      </c>
      <c r="H4" s="210"/>
      <c r="I4" s="210"/>
      <c r="J4" s="169"/>
      <c r="K4" s="170" t="s">
        <v>73</v>
      </c>
      <c r="L4" s="171"/>
    </row>
    <row r="5" spans="1:12" s="5" customFormat="1" ht="30" customHeight="1">
      <c r="A5" s="174"/>
      <c r="B5" s="204"/>
      <c r="C5" s="174"/>
      <c r="D5" s="174"/>
      <c r="E5" s="49" t="s">
        <v>7</v>
      </c>
      <c r="F5" s="6" t="s">
        <v>8</v>
      </c>
      <c r="G5" s="211" t="s">
        <v>71</v>
      </c>
      <c r="H5" s="212"/>
      <c r="I5" s="212" t="s">
        <v>72</v>
      </c>
      <c r="J5" s="213"/>
      <c r="K5" s="172"/>
      <c r="L5" s="173"/>
    </row>
    <row r="6" spans="1:12" ht="47.25" customHeight="1">
      <c r="A6" s="205">
        <v>1</v>
      </c>
      <c r="B6" s="200" t="s">
        <v>9</v>
      </c>
      <c r="C6" s="202"/>
      <c r="D6" s="27" t="s">
        <v>10</v>
      </c>
      <c r="E6" s="51"/>
      <c r="F6" s="6"/>
      <c r="G6" s="49" t="s">
        <v>7</v>
      </c>
      <c r="H6" s="6" t="s">
        <v>8</v>
      </c>
      <c r="I6" s="49" t="s">
        <v>7</v>
      </c>
      <c r="J6" s="6" t="s">
        <v>8</v>
      </c>
      <c r="K6" s="49" t="s">
        <v>7</v>
      </c>
      <c r="L6" s="6" t="s">
        <v>8</v>
      </c>
    </row>
    <row r="7" spans="1:12" s="17" customFormat="1" ht="25.5">
      <c r="A7" s="206"/>
      <c r="B7" s="20" t="s">
        <v>11</v>
      </c>
      <c r="C7" s="20"/>
      <c r="D7" s="21"/>
      <c r="E7" s="52"/>
      <c r="F7" s="53"/>
      <c r="G7" s="54"/>
      <c r="H7" s="53"/>
      <c r="I7" s="52"/>
      <c r="J7" s="53"/>
      <c r="K7" s="52"/>
      <c r="L7" s="53"/>
    </row>
    <row r="8" spans="1:12" s="17" customFormat="1" ht="25.5">
      <c r="A8" s="206"/>
      <c r="B8" s="55" t="s">
        <v>12</v>
      </c>
      <c r="C8" s="20" t="s">
        <v>13</v>
      </c>
      <c r="D8" s="21" t="s">
        <v>10</v>
      </c>
      <c r="E8" s="52">
        <v>1000</v>
      </c>
      <c r="F8" s="53">
        <f>+E8*7500/100000</f>
        <v>75</v>
      </c>
      <c r="G8" s="54">
        <v>1100</v>
      </c>
      <c r="H8" s="53">
        <f>+G8*7500/100000</f>
        <v>82.5</v>
      </c>
      <c r="I8" s="54">
        <v>200</v>
      </c>
      <c r="J8" s="53">
        <f>+I8*7500/100000</f>
        <v>15</v>
      </c>
      <c r="K8" s="54">
        <f t="shared" ref="K8:K13" si="0">+G8+I8</f>
        <v>1300</v>
      </c>
      <c r="L8" s="53">
        <f>+K8*7500/100000</f>
        <v>97.5</v>
      </c>
    </row>
    <row r="9" spans="1:12" s="17" customFormat="1" ht="25.5">
      <c r="A9" s="206"/>
      <c r="B9" s="55" t="s">
        <v>14</v>
      </c>
      <c r="C9" s="20" t="s">
        <v>13</v>
      </c>
      <c r="D9" s="21" t="s">
        <v>10</v>
      </c>
      <c r="E9" s="52">
        <v>10400</v>
      </c>
      <c r="F9" s="53">
        <f>+E9*7500/100000</f>
        <v>780</v>
      </c>
      <c r="G9" s="54">
        <v>4900</v>
      </c>
      <c r="H9" s="53">
        <f>+G9*7500/100000</f>
        <v>367.5</v>
      </c>
      <c r="I9" s="54">
        <v>500</v>
      </c>
      <c r="J9" s="53">
        <f>+I9*7500/100000</f>
        <v>37.5</v>
      </c>
      <c r="K9" s="54">
        <f t="shared" si="0"/>
        <v>5400</v>
      </c>
      <c r="L9" s="53">
        <f>+K9*7500/100000</f>
        <v>405</v>
      </c>
    </row>
    <row r="10" spans="1:12" s="17" customFormat="1" ht="25.5">
      <c r="A10" s="206"/>
      <c r="B10" s="55" t="s">
        <v>15</v>
      </c>
      <c r="C10" s="20" t="s">
        <v>13</v>
      </c>
      <c r="D10" s="21" t="s">
        <v>10</v>
      </c>
      <c r="E10" s="52">
        <v>4000</v>
      </c>
      <c r="F10" s="53">
        <f>+E10*7500/100000</f>
        <v>300</v>
      </c>
      <c r="G10" s="54">
        <v>2800</v>
      </c>
      <c r="H10" s="53">
        <f>+G10*7500/100000</f>
        <v>210</v>
      </c>
      <c r="I10" s="54">
        <v>200</v>
      </c>
      <c r="J10" s="53">
        <f>+I10*7500/100000</f>
        <v>15</v>
      </c>
      <c r="K10" s="54">
        <f t="shared" si="0"/>
        <v>3000</v>
      </c>
      <c r="L10" s="53">
        <f>+K10*7500/100000</f>
        <v>225</v>
      </c>
    </row>
    <row r="11" spans="1:12">
      <c r="A11" s="206"/>
      <c r="B11" s="56" t="s">
        <v>16</v>
      </c>
      <c r="C11" s="26"/>
      <c r="D11" s="27"/>
      <c r="E11" s="57">
        <f t="shared" ref="E11:F11" si="1">+SUM(E8:E10)</f>
        <v>15400</v>
      </c>
      <c r="F11" s="58">
        <f t="shared" si="1"/>
        <v>1155</v>
      </c>
      <c r="G11" s="82">
        <v>8600</v>
      </c>
      <c r="H11" s="25">
        <f>SUM(H8:H10)</f>
        <v>660</v>
      </c>
      <c r="I11" s="82">
        <v>900</v>
      </c>
      <c r="J11" s="25">
        <f>SUM(J8:J10)</f>
        <v>67.5</v>
      </c>
      <c r="K11" s="54">
        <f t="shared" si="0"/>
        <v>9500</v>
      </c>
      <c r="L11" s="25">
        <f>SUM(L8:L10)</f>
        <v>727.5</v>
      </c>
    </row>
    <row r="12" spans="1:12" s="64" customFormat="1" ht="36" customHeight="1">
      <c r="A12" s="206"/>
      <c r="B12" s="59" t="s">
        <v>17</v>
      </c>
      <c r="C12" s="59" t="s">
        <v>18</v>
      </c>
      <c r="D12" s="60" t="s">
        <v>19</v>
      </c>
      <c r="E12" s="61">
        <v>7000</v>
      </c>
      <c r="F12" s="62">
        <f>+E12*7500/100000</f>
        <v>525</v>
      </c>
      <c r="G12" s="54">
        <v>3000</v>
      </c>
      <c r="H12" s="53">
        <f>+G12*7500/100000</f>
        <v>225</v>
      </c>
      <c r="I12" s="54">
        <v>200</v>
      </c>
      <c r="J12" s="79">
        <f>+I12*7500/100000</f>
        <v>15</v>
      </c>
      <c r="K12" s="54">
        <f t="shared" si="0"/>
        <v>3200</v>
      </c>
      <c r="L12" s="79">
        <f>+K12*7500/100000</f>
        <v>240</v>
      </c>
    </row>
    <row r="13" spans="1:12" s="64" customFormat="1" ht="25.5">
      <c r="A13" s="206"/>
      <c r="B13" s="59" t="s">
        <v>20</v>
      </c>
      <c r="C13" s="59" t="s">
        <v>18</v>
      </c>
      <c r="D13" s="60" t="s">
        <v>19</v>
      </c>
      <c r="E13" s="61">
        <v>4000</v>
      </c>
      <c r="F13" s="62">
        <f>+E13*7500/100000</f>
        <v>300</v>
      </c>
      <c r="G13" s="54">
        <v>3000</v>
      </c>
      <c r="H13" s="53">
        <f>+G13*7500/100000</f>
        <v>225</v>
      </c>
      <c r="I13" s="54">
        <v>200</v>
      </c>
      <c r="J13" s="62">
        <f t="shared" ref="J13" si="2">+I13*7500/100000</f>
        <v>15</v>
      </c>
      <c r="K13" s="54">
        <f t="shared" si="0"/>
        <v>3200</v>
      </c>
      <c r="L13" s="62">
        <f t="shared" ref="L13" si="3">+K13*7500/100000</f>
        <v>240</v>
      </c>
    </row>
    <row r="14" spans="1:12" s="64" customFormat="1">
      <c r="A14" s="206"/>
      <c r="B14" s="59" t="s">
        <v>21</v>
      </c>
      <c r="C14" s="59"/>
      <c r="D14" s="60"/>
      <c r="E14" s="61">
        <v>21000</v>
      </c>
      <c r="F14" s="62">
        <f>+E14*12500/100000</f>
        <v>2625</v>
      </c>
      <c r="G14" s="63"/>
      <c r="H14" s="62"/>
      <c r="I14" s="61"/>
      <c r="J14" s="62"/>
      <c r="K14" s="63"/>
      <c r="L14" s="62"/>
    </row>
    <row r="15" spans="1:12" s="64" customFormat="1">
      <c r="A15" s="206"/>
      <c r="B15" s="59" t="s">
        <v>87</v>
      </c>
      <c r="C15" s="59" t="s">
        <v>22</v>
      </c>
      <c r="D15" s="60" t="s">
        <v>19</v>
      </c>
      <c r="E15" s="61"/>
      <c r="F15" s="62"/>
      <c r="G15" s="54">
        <v>1000</v>
      </c>
      <c r="H15" s="53">
        <f t="shared" ref="H15:H21" si="4">+G15*12500/100000</f>
        <v>125</v>
      </c>
      <c r="I15" s="54">
        <v>100</v>
      </c>
      <c r="J15" s="62">
        <f t="shared" ref="J15:J21" si="5">+I15*12500/100000</f>
        <v>12.5</v>
      </c>
      <c r="K15" s="54">
        <f t="shared" ref="K15:K22" si="6">+G15+I15</f>
        <v>1100</v>
      </c>
      <c r="L15" s="62">
        <f t="shared" ref="L15:L21" si="7">+K15*12500/100000</f>
        <v>137.5</v>
      </c>
    </row>
    <row r="16" spans="1:12" s="64" customFormat="1">
      <c r="A16" s="206"/>
      <c r="B16" s="59" t="s">
        <v>88</v>
      </c>
      <c r="C16" s="59" t="s">
        <v>22</v>
      </c>
      <c r="D16" s="60" t="s">
        <v>19</v>
      </c>
      <c r="E16" s="61"/>
      <c r="F16" s="62"/>
      <c r="G16" s="54">
        <v>1000</v>
      </c>
      <c r="H16" s="53">
        <f t="shared" si="4"/>
        <v>125</v>
      </c>
      <c r="I16" s="54">
        <v>100</v>
      </c>
      <c r="J16" s="62">
        <f t="shared" si="5"/>
        <v>12.5</v>
      </c>
      <c r="K16" s="54">
        <f t="shared" si="6"/>
        <v>1100</v>
      </c>
      <c r="L16" s="62">
        <f t="shared" si="7"/>
        <v>137.5</v>
      </c>
    </row>
    <row r="17" spans="1:12" s="64" customFormat="1">
      <c r="A17" s="206"/>
      <c r="B17" s="59" t="s">
        <v>89</v>
      </c>
      <c r="C17" s="59" t="s">
        <v>22</v>
      </c>
      <c r="D17" s="60" t="s">
        <v>19</v>
      </c>
      <c r="E17" s="61"/>
      <c r="F17" s="62"/>
      <c r="G17" s="54">
        <v>1000</v>
      </c>
      <c r="H17" s="53">
        <f t="shared" si="4"/>
        <v>125</v>
      </c>
      <c r="I17" s="54">
        <v>100</v>
      </c>
      <c r="J17" s="62">
        <f t="shared" si="5"/>
        <v>12.5</v>
      </c>
      <c r="K17" s="54">
        <f t="shared" si="6"/>
        <v>1100</v>
      </c>
      <c r="L17" s="62">
        <f t="shared" si="7"/>
        <v>137.5</v>
      </c>
    </row>
    <row r="18" spans="1:12" s="64" customFormat="1">
      <c r="A18" s="206"/>
      <c r="B18" s="59" t="s">
        <v>90</v>
      </c>
      <c r="C18" s="59" t="s">
        <v>22</v>
      </c>
      <c r="D18" s="60" t="s">
        <v>19</v>
      </c>
      <c r="E18" s="61"/>
      <c r="F18" s="62"/>
      <c r="G18" s="54">
        <v>1000</v>
      </c>
      <c r="H18" s="53">
        <f t="shared" si="4"/>
        <v>125</v>
      </c>
      <c r="I18" s="54">
        <v>100</v>
      </c>
      <c r="J18" s="62">
        <f t="shared" si="5"/>
        <v>12.5</v>
      </c>
      <c r="K18" s="54">
        <f t="shared" si="6"/>
        <v>1100</v>
      </c>
      <c r="L18" s="53">
        <f t="shared" ref="L18:L19" si="8">+H18+J18</f>
        <v>137.5</v>
      </c>
    </row>
    <row r="19" spans="1:12" s="64" customFormat="1">
      <c r="A19" s="206"/>
      <c r="B19" s="59" t="s">
        <v>91</v>
      </c>
      <c r="C19" s="59" t="s">
        <v>22</v>
      </c>
      <c r="D19" s="60" t="s">
        <v>19</v>
      </c>
      <c r="E19" s="61"/>
      <c r="F19" s="62"/>
      <c r="G19" s="54">
        <v>600</v>
      </c>
      <c r="H19" s="53">
        <f t="shared" si="4"/>
        <v>75</v>
      </c>
      <c r="I19" s="54">
        <v>200</v>
      </c>
      <c r="J19" s="62">
        <f t="shared" si="5"/>
        <v>25</v>
      </c>
      <c r="K19" s="54">
        <f t="shared" si="6"/>
        <v>800</v>
      </c>
      <c r="L19" s="53">
        <f t="shared" si="8"/>
        <v>100</v>
      </c>
    </row>
    <row r="20" spans="1:12" s="64" customFormat="1">
      <c r="A20" s="206"/>
      <c r="B20" s="59" t="s">
        <v>92</v>
      </c>
      <c r="C20" s="59" t="s">
        <v>22</v>
      </c>
      <c r="D20" s="60" t="s">
        <v>19</v>
      </c>
      <c r="E20" s="61"/>
      <c r="F20" s="62"/>
      <c r="G20" s="54">
        <v>1000</v>
      </c>
      <c r="H20" s="53">
        <f t="shared" si="4"/>
        <v>125</v>
      </c>
      <c r="I20" s="54">
        <v>100</v>
      </c>
      <c r="J20" s="62">
        <f t="shared" si="5"/>
        <v>12.5</v>
      </c>
      <c r="K20" s="54">
        <f t="shared" si="6"/>
        <v>1100</v>
      </c>
      <c r="L20" s="62">
        <f t="shared" si="7"/>
        <v>137.5</v>
      </c>
    </row>
    <row r="21" spans="1:12" s="64" customFormat="1">
      <c r="A21" s="206"/>
      <c r="B21" s="59" t="s">
        <v>93</v>
      </c>
      <c r="C21" s="59" t="s">
        <v>22</v>
      </c>
      <c r="D21" s="60" t="s">
        <v>19</v>
      </c>
      <c r="E21" s="61"/>
      <c r="F21" s="62"/>
      <c r="G21" s="54">
        <v>700</v>
      </c>
      <c r="H21" s="53">
        <f t="shared" si="4"/>
        <v>87.5</v>
      </c>
      <c r="I21" s="61">
        <v>200</v>
      </c>
      <c r="J21" s="62">
        <f t="shared" si="5"/>
        <v>25</v>
      </c>
      <c r="K21" s="54">
        <f t="shared" si="6"/>
        <v>900</v>
      </c>
      <c r="L21" s="62">
        <f t="shared" si="7"/>
        <v>112.5</v>
      </c>
    </row>
    <row r="22" spans="1:12" s="64" customFormat="1">
      <c r="A22" s="206"/>
      <c r="B22" s="59"/>
      <c r="C22" s="59"/>
      <c r="D22" s="60"/>
      <c r="E22" s="61"/>
      <c r="F22" s="62"/>
      <c r="G22" s="63">
        <f>SUM(G15:G21)</f>
        <v>6300</v>
      </c>
      <c r="H22" s="62">
        <f>SUM(H15:H21)</f>
        <v>787.5</v>
      </c>
      <c r="I22" s="63">
        <f>SUM(I15:I21)</f>
        <v>900</v>
      </c>
      <c r="J22" s="62">
        <f>SUM(J15:J21)</f>
        <v>112.5</v>
      </c>
      <c r="K22" s="54">
        <f t="shared" si="6"/>
        <v>7200</v>
      </c>
      <c r="L22" s="62">
        <f>SUM(L15:L21)</f>
        <v>900</v>
      </c>
    </row>
    <row r="23" spans="1:12">
      <c r="A23" s="207"/>
      <c r="B23" s="50" t="s">
        <v>75</v>
      </c>
      <c r="C23" s="23"/>
      <c r="D23" s="66"/>
      <c r="E23" s="67">
        <f>+SUM(E11:E14)</f>
        <v>47400</v>
      </c>
      <c r="F23" s="25">
        <f>+SUM(F11:F14)</f>
        <v>4605</v>
      </c>
      <c r="G23" s="158">
        <f t="shared" ref="G23:L23" si="9">+G22+G13+G12+G11</f>
        <v>20900</v>
      </c>
      <c r="H23" s="75">
        <f t="shared" si="9"/>
        <v>1897.5</v>
      </c>
      <c r="I23" s="158">
        <f t="shared" si="9"/>
        <v>2200</v>
      </c>
      <c r="J23" s="75">
        <f t="shared" si="9"/>
        <v>210</v>
      </c>
      <c r="K23" s="158">
        <f t="shared" si="9"/>
        <v>23100</v>
      </c>
      <c r="L23" s="75">
        <f t="shared" si="9"/>
        <v>2107.5</v>
      </c>
    </row>
    <row r="24" spans="1:12">
      <c r="A24" s="203">
        <v>2</v>
      </c>
      <c r="B24" s="50" t="s">
        <v>23</v>
      </c>
      <c r="C24" s="26"/>
      <c r="D24" s="27"/>
      <c r="E24" s="57"/>
      <c r="F24" s="68"/>
      <c r="G24" s="69"/>
      <c r="H24" s="68"/>
      <c r="I24" s="57"/>
      <c r="J24" s="68"/>
      <c r="K24" s="57"/>
      <c r="L24" s="68"/>
    </row>
    <row r="25" spans="1:12" s="17" customFormat="1">
      <c r="A25" s="203"/>
      <c r="B25" s="20" t="s">
        <v>24</v>
      </c>
      <c r="C25" s="20" t="s">
        <v>25</v>
      </c>
      <c r="D25" s="21" t="s">
        <v>26</v>
      </c>
      <c r="E25" s="52">
        <v>15000</v>
      </c>
      <c r="F25" s="53">
        <f>+E25*5000/100000</f>
        <v>750</v>
      </c>
      <c r="G25" s="54">
        <v>8000</v>
      </c>
      <c r="H25" s="53">
        <f>+G25*5000/100000</f>
        <v>400</v>
      </c>
      <c r="I25" s="54">
        <v>1000</v>
      </c>
      <c r="J25" s="53">
        <f>+I25*5000/100000</f>
        <v>50</v>
      </c>
      <c r="K25" s="54">
        <f>+G25+I25</f>
        <v>9000</v>
      </c>
      <c r="L25" s="53">
        <f>+H25+J25</f>
        <v>450</v>
      </c>
    </row>
    <row r="26" spans="1:12" s="17" customFormat="1">
      <c r="A26" s="203"/>
      <c r="B26" s="20" t="s">
        <v>27</v>
      </c>
      <c r="C26" s="20" t="s">
        <v>28</v>
      </c>
      <c r="D26" s="21" t="s">
        <v>29</v>
      </c>
      <c r="E26" s="52">
        <v>150780</v>
      </c>
      <c r="F26" s="53">
        <f>+E26*1000/100000</f>
        <v>1507.8</v>
      </c>
      <c r="G26" s="54">
        <f>50000+4800+79</f>
        <v>54879</v>
      </c>
      <c r="H26" s="53">
        <f>+G26*1000/100000</f>
        <v>548.79</v>
      </c>
      <c r="I26" s="54">
        <v>5542</v>
      </c>
      <c r="J26" s="53">
        <f>+I26*1000/100000</f>
        <v>55.42</v>
      </c>
      <c r="K26" s="54">
        <f>+G26+I26</f>
        <v>60421</v>
      </c>
      <c r="L26" s="53">
        <f>+H26+J26</f>
        <v>604.20999999999992</v>
      </c>
    </row>
    <row r="27" spans="1:12" s="17" customFormat="1">
      <c r="A27" s="70"/>
      <c r="B27" s="19" t="s">
        <v>30</v>
      </c>
      <c r="C27" s="19"/>
      <c r="D27" s="71"/>
      <c r="E27" s="72">
        <f t="shared" ref="E27:J27" si="10">SUM(E25:E26)</f>
        <v>165780</v>
      </c>
      <c r="F27" s="73">
        <f t="shared" si="10"/>
        <v>2257.8000000000002</v>
      </c>
      <c r="G27" s="87">
        <f>SUM(G25:G26)</f>
        <v>62879</v>
      </c>
      <c r="H27" s="73">
        <f>SUM(H25:H26)</f>
        <v>948.79</v>
      </c>
      <c r="I27" s="87">
        <f>SUM(I25:I26)</f>
        <v>6542</v>
      </c>
      <c r="J27" s="73">
        <f t="shared" si="10"/>
        <v>105.42</v>
      </c>
      <c r="K27" s="163">
        <f>SUM(K25:K26)</f>
        <v>69421</v>
      </c>
      <c r="L27" s="73">
        <f>SUM(L25:L26)</f>
        <v>1054.21</v>
      </c>
    </row>
    <row r="28" spans="1:12">
      <c r="A28" s="203">
        <v>3</v>
      </c>
      <c r="B28" s="204" t="s">
        <v>31</v>
      </c>
      <c r="C28" s="204"/>
      <c r="D28" s="27"/>
      <c r="E28" s="51"/>
      <c r="F28" s="68"/>
      <c r="G28" s="69"/>
      <c r="H28" s="68"/>
      <c r="I28" s="51"/>
      <c r="J28" s="68"/>
      <c r="K28" s="51"/>
      <c r="L28" s="68"/>
    </row>
    <row r="29" spans="1:12">
      <c r="A29" s="203"/>
      <c r="B29" s="50" t="s">
        <v>32</v>
      </c>
      <c r="C29" s="50"/>
      <c r="D29" s="27"/>
      <c r="E29" s="51"/>
      <c r="F29" s="68"/>
      <c r="G29" s="69"/>
      <c r="H29" s="68"/>
      <c r="I29" s="51"/>
      <c r="J29" s="68"/>
      <c r="K29" s="51"/>
      <c r="L29" s="68"/>
    </row>
    <row r="30" spans="1:12">
      <c r="A30" s="203"/>
      <c r="B30" s="26" t="s">
        <v>33</v>
      </c>
      <c r="C30" s="26" t="s">
        <v>34</v>
      </c>
      <c r="D30" s="27" t="s">
        <v>35</v>
      </c>
      <c r="E30" s="57">
        <v>90976</v>
      </c>
      <c r="F30" s="58">
        <f>+E30*500/100000</f>
        <v>454.88</v>
      </c>
      <c r="G30" s="74">
        <v>36844.47</v>
      </c>
      <c r="H30" s="58">
        <f>+G30*500/100000</f>
        <v>184.22235000000001</v>
      </c>
      <c r="I30" s="74">
        <v>4093.8300000000017</v>
      </c>
      <c r="J30" s="58">
        <f>+I30*500/100000</f>
        <v>20.46915000000001</v>
      </c>
      <c r="K30" s="54">
        <f>+G30+I30</f>
        <v>40938.300000000003</v>
      </c>
      <c r="L30" s="58">
        <v>204.69149999999999</v>
      </c>
    </row>
    <row r="31" spans="1:12">
      <c r="A31" s="203"/>
      <c r="B31" s="26" t="s">
        <v>36</v>
      </c>
      <c r="C31" s="26" t="s">
        <v>37</v>
      </c>
      <c r="D31" s="27" t="s">
        <v>35</v>
      </c>
      <c r="E31" s="57">
        <v>41300</v>
      </c>
      <c r="F31" s="58">
        <f>+E31*1000/100000</f>
        <v>413</v>
      </c>
      <c r="G31" s="74">
        <v>15303.6</v>
      </c>
      <c r="H31" s="58">
        <f>+G31*1000/100000</f>
        <v>153.036</v>
      </c>
      <c r="I31" s="74">
        <v>1700.3999999999996</v>
      </c>
      <c r="J31" s="58">
        <f>+I31*1000/100000</f>
        <v>17.003999999999994</v>
      </c>
      <c r="K31" s="54">
        <f>+G31+I31</f>
        <v>17004</v>
      </c>
      <c r="L31" s="58">
        <v>170.04</v>
      </c>
    </row>
    <row r="32" spans="1:12">
      <c r="A32" s="203"/>
      <c r="B32" s="26" t="s">
        <v>38</v>
      </c>
      <c r="C32" s="26"/>
      <c r="D32" s="27"/>
      <c r="E32" s="57">
        <f t="shared" ref="E32:J32" si="11">+SUM(E30:E31)</f>
        <v>132276</v>
      </c>
      <c r="F32" s="58">
        <f t="shared" si="11"/>
        <v>867.88</v>
      </c>
      <c r="G32" s="82">
        <v>52139.700000000004</v>
      </c>
      <c r="H32" s="25">
        <f t="shared" si="11"/>
        <v>337.25835000000001</v>
      </c>
      <c r="I32" s="82">
        <v>5793.2999999999956</v>
      </c>
      <c r="J32" s="25">
        <f t="shared" si="11"/>
        <v>37.473150000000004</v>
      </c>
      <c r="K32" s="87">
        <f>+G32+I32</f>
        <v>57933</v>
      </c>
      <c r="L32" s="25">
        <v>374.73149999999998</v>
      </c>
    </row>
    <row r="33" spans="1:12">
      <c r="A33" s="203"/>
      <c r="B33" s="26" t="s">
        <v>39</v>
      </c>
      <c r="C33" s="26"/>
      <c r="D33" s="27"/>
      <c r="E33" s="57"/>
      <c r="F33" s="58"/>
      <c r="G33" s="57"/>
      <c r="H33" s="58"/>
      <c r="I33" s="57"/>
      <c r="J33" s="58"/>
      <c r="K33" s="57"/>
      <c r="L33" s="58"/>
    </row>
    <row r="34" spans="1:12">
      <c r="A34" s="203"/>
      <c r="B34" s="26" t="s">
        <v>40</v>
      </c>
      <c r="C34" s="26" t="s">
        <v>34</v>
      </c>
      <c r="D34" s="27" t="s">
        <v>35</v>
      </c>
      <c r="E34" s="57">
        <v>87012</v>
      </c>
      <c r="F34" s="58">
        <f>+E34*500/100000</f>
        <v>435.06</v>
      </c>
      <c r="G34" s="74">
        <v>36000</v>
      </c>
      <c r="H34" s="58">
        <f>+G34*500/100000</f>
        <v>180</v>
      </c>
      <c r="I34" s="74">
        <v>4000</v>
      </c>
      <c r="J34" s="58">
        <f>+I34*500/100000</f>
        <v>20</v>
      </c>
      <c r="K34" s="54">
        <f>+G34+I34</f>
        <v>40000</v>
      </c>
      <c r="L34" s="58">
        <v>200</v>
      </c>
    </row>
    <row r="35" spans="1:12">
      <c r="A35" s="27"/>
      <c r="B35" s="26" t="s">
        <v>41</v>
      </c>
      <c r="C35" s="26" t="s">
        <v>34</v>
      </c>
      <c r="D35" s="27" t="s">
        <v>10</v>
      </c>
      <c r="E35" s="57">
        <v>77000</v>
      </c>
      <c r="F35" s="58">
        <f>+E35*500/100000</f>
        <v>385</v>
      </c>
      <c r="G35" s="74">
        <v>38868.300000000003</v>
      </c>
      <c r="H35" s="58">
        <f>+G35*500/100000</f>
        <v>194.3415</v>
      </c>
      <c r="I35" s="74">
        <v>4318.6999999999971</v>
      </c>
      <c r="J35" s="58">
        <f>+I35*500/100000</f>
        <v>21.593499999999985</v>
      </c>
      <c r="K35" s="54">
        <f>+G35+I35</f>
        <v>43187</v>
      </c>
      <c r="L35" s="58">
        <v>215.935</v>
      </c>
    </row>
    <row r="36" spans="1:12" ht="23.25" customHeight="1">
      <c r="A36" s="27"/>
      <c r="B36" s="26" t="s">
        <v>42</v>
      </c>
      <c r="C36" s="26"/>
      <c r="D36" s="27"/>
      <c r="E36" s="57">
        <f t="shared" ref="E36:J36" si="12">+SUM(E34:E35)</f>
        <v>164012</v>
      </c>
      <c r="F36" s="58">
        <f t="shared" si="12"/>
        <v>820.06</v>
      </c>
      <c r="G36" s="82">
        <v>56700</v>
      </c>
      <c r="H36" s="25">
        <f t="shared" si="12"/>
        <v>374.3415</v>
      </c>
      <c r="I36" s="82">
        <v>6300</v>
      </c>
      <c r="J36" s="25">
        <f t="shared" si="12"/>
        <v>41.593499999999985</v>
      </c>
      <c r="K36" s="87">
        <f>+G36+I36</f>
        <v>63000</v>
      </c>
      <c r="L36" s="25">
        <v>415.935</v>
      </c>
    </row>
    <row r="37" spans="1:12">
      <c r="A37" s="23"/>
      <c r="B37" s="50" t="s">
        <v>76</v>
      </c>
      <c r="C37" s="23"/>
      <c r="D37" s="66"/>
      <c r="E37" s="67">
        <f t="shared" ref="E37:F37" si="13">+E36+E32</f>
        <v>296288</v>
      </c>
      <c r="F37" s="67">
        <f t="shared" si="13"/>
        <v>1687.94</v>
      </c>
      <c r="G37" s="158">
        <f>+G32+G36</f>
        <v>108839.70000000001</v>
      </c>
      <c r="H37" s="75">
        <f>+H32+H36</f>
        <v>711.59985000000006</v>
      </c>
      <c r="I37" s="158">
        <v>12093.299999999996</v>
      </c>
      <c r="J37" s="75">
        <f>+J32+J36</f>
        <v>79.066649999999981</v>
      </c>
      <c r="K37" s="158">
        <f>+K32+K36</f>
        <v>120933</v>
      </c>
      <c r="L37" s="75">
        <f>+L32+L36</f>
        <v>790.66650000000004</v>
      </c>
    </row>
    <row r="38" spans="1:12">
      <c r="A38" s="205">
        <v>4</v>
      </c>
      <c r="B38" s="76" t="s">
        <v>43</v>
      </c>
      <c r="C38" s="26"/>
      <c r="D38" s="27"/>
      <c r="E38" s="57"/>
      <c r="F38" s="68"/>
      <c r="G38" s="69"/>
      <c r="H38" s="68"/>
      <c r="I38" s="57"/>
      <c r="J38" s="68"/>
      <c r="K38" s="57"/>
      <c r="L38" s="68"/>
    </row>
    <row r="39" spans="1:12">
      <c r="A39" s="206"/>
      <c r="B39" s="76" t="s">
        <v>44</v>
      </c>
      <c r="C39" s="26"/>
      <c r="D39" s="27"/>
      <c r="E39" s="57"/>
      <c r="F39" s="68"/>
      <c r="G39" s="69"/>
      <c r="H39" s="68"/>
      <c r="I39" s="57"/>
      <c r="J39" s="68"/>
      <c r="K39" s="57"/>
      <c r="L39" s="68"/>
    </row>
    <row r="40" spans="1:12" s="17" customFormat="1">
      <c r="A40" s="206"/>
      <c r="B40" s="20" t="s">
        <v>77</v>
      </c>
      <c r="C40" s="20" t="s">
        <v>45</v>
      </c>
      <c r="D40" s="21" t="s">
        <v>46</v>
      </c>
      <c r="E40" s="52">
        <v>7000</v>
      </c>
      <c r="F40" s="53">
        <f>+E40*600/100000</f>
        <v>42</v>
      </c>
      <c r="G40" s="54">
        <v>2563</v>
      </c>
      <c r="H40" s="53">
        <f>+G40*600/100000</f>
        <v>15.378</v>
      </c>
      <c r="I40" s="54">
        <v>285</v>
      </c>
      <c r="J40" s="53">
        <f>+I40*600/100000</f>
        <v>1.71</v>
      </c>
      <c r="K40" s="54">
        <f>+G40+I40</f>
        <v>2848</v>
      </c>
      <c r="L40" s="53">
        <f>+H40+J40</f>
        <v>17.088000000000001</v>
      </c>
    </row>
    <row r="41" spans="1:12" s="17" customFormat="1">
      <c r="A41" s="206"/>
      <c r="B41" s="20" t="s">
        <v>78</v>
      </c>
      <c r="C41" s="20" t="s">
        <v>45</v>
      </c>
      <c r="D41" s="21" t="s">
        <v>46</v>
      </c>
      <c r="E41" s="52">
        <v>5000</v>
      </c>
      <c r="F41" s="53">
        <f>+E41*600/100000</f>
        <v>30</v>
      </c>
      <c r="G41" s="54">
        <v>1879.2</v>
      </c>
      <c r="H41" s="53">
        <f>+G41*600/100000</f>
        <v>11.2752</v>
      </c>
      <c r="I41" s="54">
        <v>208.79999999999995</v>
      </c>
      <c r="J41" s="53">
        <f>+I41*600/100000</f>
        <v>1.2527999999999997</v>
      </c>
      <c r="K41" s="54">
        <f>+G41+I41</f>
        <v>2088</v>
      </c>
      <c r="L41" s="53">
        <f>+H41+J41</f>
        <v>12.527999999999999</v>
      </c>
    </row>
    <row r="42" spans="1:12" s="81" customFormat="1">
      <c r="A42" s="206"/>
      <c r="B42" s="77" t="s">
        <v>79</v>
      </c>
      <c r="C42" s="77" t="s">
        <v>47</v>
      </c>
      <c r="D42" s="78" t="s">
        <v>46</v>
      </c>
      <c r="E42" s="65">
        <v>500</v>
      </c>
      <c r="F42" s="79">
        <f>+E42*3000/100000</f>
        <v>15</v>
      </c>
      <c r="G42" s="80">
        <v>0</v>
      </c>
      <c r="H42" s="79">
        <f>+G42*3000/100000</f>
        <v>0</v>
      </c>
      <c r="I42" s="65">
        <v>0</v>
      </c>
      <c r="J42" s="79">
        <f>+I42*3000/100000</f>
        <v>0</v>
      </c>
      <c r="K42" s="80">
        <v>0</v>
      </c>
      <c r="L42" s="53">
        <f>+H42+J42</f>
        <v>0</v>
      </c>
    </row>
    <row r="43" spans="1:12" s="81" customFormat="1">
      <c r="A43" s="206"/>
      <c r="B43" s="77" t="s">
        <v>80</v>
      </c>
      <c r="C43" s="77" t="s">
        <v>48</v>
      </c>
      <c r="D43" s="78" t="s">
        <v>46</v>
      </c>
      <c r="E43" s="65">
        <v>200</v>
      </c>
      <c r="F43" s="79">
        <f>+E43*15000/100000</f>
        <v>30</v>
      </c>
      <c r="G43" s="80">
        <v>0</v>
      </c>
      <c r="H43" s="79">
        <f>+G43*15000/100000</f>
        <v>0</v>
      </c>
      <c r="I43" s="65">
        <v>0</v>
      </c>
      <c r="J43" s="79">
        <f>+I43*15000/100000</f>
        <v>0</v>
      </c>
      <c r="K43" s="80">
        <v>0</v>
      </c>
      <c r="L43" s="79">
        <v>0</v>
      </c>
    </row>
    <row r="44" spans="1:12" s="81" customFormat="1">
      <c r="A44" s="206"/>
      <c r="B44" s="77" t="s">
        <v>81</v>
      </c>
      <c r="C44" s="77" t="s">
        <v>49</v>
      </c>
      <c r="D44" s="78" t="s">
        <v>46</v>
      </c>
      <c r="E44" s="65">
        <v>550</v>
      </c>
      <c r="F44" s="79">
        <f>+E44*1500/100000</f>
        <v>8.25</v>
      </c>
      <c r="G44" s="80">
        <v>0</v>
      </c>
      <c r="H44" s="79">
        <f>+G44*1500/100000</f>
        <v>0</v>
      </c>
      <c r="I44" s="65">
        <v>0</v>
      </c>
      <c r="J44" s="79">
        <f>+I44*1500/100000</f>
        <v>0</v>
      </c>
      <c r="K44" s="80">
        <v>0</v>
      </c>
      <c r="L44" s="79">
        <v>0</v>
      </c>
    </row>
    <row r="45" spans="1:12" s="81" customFormat="1">
      <c r="A45" s="206"/>
      <c r="B45" s="77" t="s">
        <v>82</v>
      </c>
      <c r="C45" s="77" t="s">
        <v>50</v>
      </c>
      <c r="D45" s="78" t="s">
        <v>46</v>
      </c>
      <c r="E45" s="65">
        <v>473</v>
      </c>
      <c r="F45" s="79">
        <f>+E45*35000/100000</f>
        <v>165.55</v>
      </c>
      <c r="G45" s="54">
        <v>172.77300000000002</v>
      </c>
      <c r="H45" s="79">
        <f>+G45*35000/100000</f>
        <v>60.47055000000001</v>
      </c>
      <c r="I45" s="54">
        <v>19.197000000000003</v>
      </c>
      <c r="J45" s="53">
        <f>+I45*35000/100000</f>
        <v>6.7189500000000013</v>
      </c>
      <c r="K45" s="54">
        <f>+G45+I45</f>
        <v>191.97000000000003</v>
      </c>
      <c r="L45" s="79">
        <f>+H45+J45</f>
        <v>67.18950000000001</v>
      </c>
    </row>
    <row r="46" spans="1:12" s="81" customFormat="1">
      <c r="A46" s="206"/>
      <c r="B46" s="77" t="s">
        <v>83</v>
      </c>
      <c r="C46" s="77" t="s">
        <v>51</v>
      </c>
      <c r="D46" s="78" t="s">
        <v>46</v>
      </c>
      <c r="E46" s="65">
        <v>27</v>
      </c>
      <c r="F46" s="79">
        <f>+E46*150000/100000</f>
        <v>40.5</v>
      </c>
      <c r="G46" s="80">
        <v>0</v>
      </c>
      <c r="H46" s="79">
        <f>+G46*150000/100000</f>
        <v>0</v>
      </c>
      <c r="I46" s="65">
        <v>0</v>
      </c>
      <c r="J46" s="79">
        <f>+I46*150000/100000</f>
        <v>0</v>
      </c>
      <c r="K46" s="80">
        <v>0</v>
      </c>
      <c r="L46" s="79">
        <v>0</v>
      </c>
    </row>
    <row r="47" spans="1:12" s="81" customFormat="1" ht="25.5">
      <c r="A47" s="206"/>
      <c r="B47" s="77" t="s">
        <v>84</v>
      </c>
      <c r="C47" s="77" t="s">
        <v>52</v>
      </c>
      <c r="D47" s="78" t="s">
        <v>46</v>
      </c>
      <c r="E47" s="65">
        <v>70</v>
      </c>
      <c r="F47" s="79">
        <f>+E47*75000/100000</f>
        <v>52.5</v>
      </c>
      <c r="G47" s="80">
        <v>0</v>
      </c>
      <c r="H47" s="79">
        <f>+G47*75000/100000</f>
        <v>0</v>
      </c>
      <c r="I47" s="65">
        <v>0</v>
      </c>
      <c r="J47" s="79">
        <f>+I47*75000/100000</f>
        <v>0</v>
      </c>
      <c r="K47" s="80">
        <v>0</v>
      </c>
      <c r="L47" s="79">
        <v>0</v>
      </c>
    </row>
    <row r="48" spans="1:12" ht="25.5">
      <c r="A48" s="206"/>
      <c r="B48" s="50" t="s">
        <v>53</v>
      </c>
      <c r="C48" s="26"/>
      <c r="D48" s="66"/>
      <c r="E48" s="82"/>
      <c r="F48" s="25"/>
      <c r="G48" s="82"/>
      <c r="H48" s="25"/>
      <c r="I48" s="82"/>
      <c r="J48" s="25"/>
      <c r="K48" s="82"/>
      <c r="L48" s="25"/>
    </row>
    <row r="49" spans="1:14" s="17" customFormat="1">
      <c r="A49" s="206"/>
      <c r="B49" s="20" t="s">
        <v>85</v>
      </c>
      <c r="C49" s="20" t="s">
        <v>54</v>
      </c>
      <c r="D49" s="21" t="s">
        <v>46</v>
      </c>
      <c r="E49" s="52">
        <v>1120</v>
      </c>
      <c r="F49" s="53">
        <f>+E49*75000/100000</f>
        <v>840</v>
      </c>
      <c r="G49" s="54">
        <v>585.9</v>
      </c>
      <c r="H49" s="53">
        <f>+G49*75000/100000</f>
        <v>439.42500000000001</v>
      </c>
      <c r="I49" s="54">
        <v>65.100000000000023</v>
      </c>
      <c r="J49" s="53">
        <f>+I49*75000/100000</f>
        <v>48.825000000000017</v>
      </c>
      <c r="K49" s="54">
        <f>+G49+I49</f>
        <v>651</v>
      </c>
      <c r="L49" s="79">
        <f>+H49+J49</f>
        <v>488.25</v>
      </c>
    </row>
    <row r="50" spans="1:14">
      <c r="A50" s="207"/>
      <c r="B50" s="50" t="s">
        <v>86</v>
      </c>
      <c r="C50" s="26"/>
      <c r="D50" s="66"/>
      <c r="E50" s="82"/>
      <c r="F50" s="25" t="e">
        <f>+#REF!+#REF!</f>
        <v>#REF!</v>
      </c>
      <c r="G50" s="82">
        <v>5190.9930000000004</v>
      </c>
      <c r="H50" s="25">
        <f>SUM(H40:H49)</f>
        <v>526.54875000000004</v>
      </c>
      <c r="I50" s="82">
        <v>576.77699999999982</v>
      </c>
      <c r="J50" s="25">
        <f>SUM(J40:J49)</f>
        <v>58.506750000000018</v>
      </c>
      <c r="K50" s="82">
        <v>5767.77</v>
      </c>
      <c r="L50" s="25">
        <f>SUM(L40:L49)</f>
        <v>585.05550000000005</v>
      </c>
    </row>
    <row r="51" spans="1:14">
      <c r="A51" s="83">
        <v>5</v>
      </c>
      <c r="B51" s="50" t="s">
        <v>55</v>
      </c>
      <c r="C51" s="26"/>
      <c r="D51" s="66"/>
      <c r="E51" s="82"/>
      <c r="F51" s="25"/>
      <c r="G51" s="82"/>
      <c r="H51" s="25"/>
      <c r="I51" s="82"/>
      <c r="J51" s="25"/>
      <c r="K51" s="82"/>
      <c r="L51" s="25"/>
    </row>
    <row r="52" spans="1:14">
      <c r="A52" s="84"/>
      <c r="B52" s="26" t="s">
        <v>56</v>
      </c>
      <c r="C52" s="26" t="s">
        <v>57</v>
      </c>
      <c r="D52" s="27" t="s">
        <v>46</v>
      </c>
      <c r="E52" s="57">
        <v>3500</v>
      </c>
      <c r="F52" s="58">
        <f>+E52*10000/100000</f>
        <v>350</v>
      </c>
      <c r="G52" s="54">
        <v>1352</v>
      </c>
      <c r="H52" s="58">
        <f>+G52*10000/100000</f>
        <v>135.19999999999999</v>
      </c>
      <c r="I52" s="54">
        <v>158</v>
      </c>
      <c r="J52" s="58">
        <f>+I52*10000/100000</f>
        <v>15.8</v>
      </c>
      <c r="K52" s="54">
        <f>+G52+I52</f>
        <v>1510</v>
      </c>
      <c r="L52" s="79">
        <f>+H52+J52</f>
        <v>151</v>
      </c>
    </row>
    <row r="53" spans="1:14" ht="25.5">
      <c r="A53" s="84"/>
      <c r="B53" s="26" t="s">
        <v>58</v>
      </c>
      <c r="C53" s="26" t="s">
        <v>59</v>
      </c>
      <c r="D53" s="27" t="s">
        <v>60</v>
      </c>
      <c r="E53" s="57">
        <v>520000</v>
      </c>
      <c r="F53" s="58">
        <f>+E53*25/100000</f>
        <v>130</v>
      </c>
      <c r="G53" s="54">
        <f>200070+15</f>
        <v>200085</v>
      </c>
      <c r="H53" s="58">
        <f>+G53*25/100000+0.001</f>
        <v>50.02225</v>
      </c>
      <c r="I53" s="54">
        <v>22230</v>
      </c>
      <c r="J53" s="58">
        <f>+I53*25/100000</f>
        <v>5.5575000000000001</v>
      </c>
      <c r="K53" s="54">
        <f>+G53+I53</f>
        <v>222315</v>
      </c>
      <c r="L53" s="79">
        <f>+H53+J53</f>
        <v>55.579749999999997</v>
      </c>
    </row>
    <row r="54" spans="1:14" s="88" customFormat="1">
      <c r="A54" s="85"/>
      <c r="B54" s="19" t="s">
        <v>61</v>
      </c>
      <c r="C54" s="19"/>
      <c r="D54" s="18"/>
      <c r="E54" s="86"/>
      <c r="F54" s="73">
        <f>+F52+F53</f>
        <v>480</v>
      </c>
      <c r="G54" s="87"/>
      <c r="H54" s="73">
        <f>SUM(H52:H53)</f>
        <v>185.22224999999997</v>
      </c>
      <c r="I54" s="86"/>
      <c r="J54" s="73">
        <f>SUM(J52:J53)</f>
        <v>21.357500000000002</v>
      </c>
      <c r="K54" s="86"/>
      <c r="L54" s="73">
        <f>SUM(L52:L53)</f>
        <v>206.57974999999999</v>
      </c>
    </row>
    <row r="55" spans="1:14" s="88" customFormat="1">
      <c r="A55" s="85"/>
      <c r="B55" s="19"/>
      <c r="C55" s="19"/>
      <c r="D55" s="18"/>
      <c r="E55" s="86"/>
      <c r="F55" s="73"/>
      <c r="G55" s="87"/>
      <c r="H55" s="73">
        <f>+H50+H54</f>
        <v>711.77099999999996</v>
      </c>
      <c r="I55" s="86"/>
      <c r="J55" s="73">
        <f>+J50+J54</f>
        <v>79.864250000000027</v>
      </c>
      <c r="K55" s="86"/>
      <c r="L55" s="73">
        <f>+L50+L54</f>
        <v>791.63525000000004</v>
      </c>
    </row>
    <row r="56" spans="1:14" ht="38.25">
      <c r="A56" s="89">
        <v>6</v>
      </c>
      <c r="B56" s="26" t="s">
        <v>62</v>
      </c>
      <c r="C56" s="90" t="s">
        <v>63</v>
      </c>
      <c r="D56" s="21" t="s">
        <v>46</v>
      </c>
      <c r="E56" s="57">
        <v>827</v>
      </c>
      <c r="F56" s="58">
        <f>+E56*14000/100000</f>
        <v>115.78</v>
      </c>
      <c r="G56" s="54">
        <v>338.40000000000003</v>
      </c>
      <c r="H56" s="53">
        <v>47.376000000000012</v>
      </c>
      <c r="I56" s="52">
        <v>38</v>
      </c>
      <c r="J56" s="53">
        <v>5.32</v>
      </c>
      <c r="K56" s="54">
        <f>+G56+I56</f>
        <v>376.40000000000003</v>
      </c>
      <c r="L56" s="53">
        <f>+K56*14000/100000</f>
        <v>52.696000000000012</v>
      </c>
    </row>
    <row r="57" spans="1:14">
      <c r="A57" s="199">
        <v>7</v>
      </c>
      <c r="B57" s="200" t="s">
        <v>64</v>
      </c>
      <c r="C57" s="201"/>
      <c r="D57" s="201"/>
      <c r="E57" s="201"/>
      <c r="F57" s="201"/>
      <c r="G57" s="201"/>
      <c r="H57" s="201"/>
      <c r="I57" s="201"/>
      <c r="J57" s="201"/>
      <c r="K57" s="201"/>
      <c r="L57" s="202"/>
    </row>
    <row r="58" spans="1:14" ht="56.25">
      <c r="A58" s="199"/>
      <c r="B58" s="146" t="s">
        <v>210</v>
      </c>
      <c r="C58" s="112" t="s">
        <v>211</v>
      </c>
      <c r="D58" s="144" t="s">
        <v>186</v>
      </c>
      <c r="E58" s="140"/>
      <c r="F58" s="145"/>
      <c r="G58" s="157">
        <v>5</v>
      </c>
      <c r="H58" s="145">
        <v>225</v>
      </c>
      <c r="I58" s="140">
        <f>+J58*10000/270</f>
        <v>-3333.3333333333335</v>
      </c>
      <c r="J58" s="145">
        <f>+L58-H58</f>
        <v>-90</v>
      </c>
      <c r="K58" s="164">
        <v>50000</v>
      </c>
      <c r="L58" s="145">
        <f>+K58*270/100000</f>
        <v>135</v>
      </c>
    </row>
    <row r="59" spans="1:14" ht="18.75">
      <c r="A59" s="199"/>
      <c r="B59" s="146" t="s">
        <v>190</v>
      </c>
      <c r="C59" s="144">
        <f>+H59*100000/10430</f>
        <v>2928.6000000000004</v>
      </c>
      <c r="D59" s="144" t="s">
        <v>172</v>
      </c>
      <c r="E59" s="140"/>
      <c r="F59" s="145"/>
      <c r="G59" s="104">
        <v>10430</v>
      </c>
      <c r="H59" s="145">
        <f>+L59*90%</f>
        <v>305.45298000000003</v>
      </c>
      <c r="I59" s="140">
        <f>+J59*100000/10430</f>
        <v>325.39999999999975</v>
      </c>
      <c r="J59" s="145">
        <f>+L59-H59</f>
        <v>33.939219999999978</v>
      </c>
      <c r="K59" s="165">
        <v>3254</v>
      </c>
      <c r="L59" s="145">
        <v>339.3922</v>
      </c>
      <c r="N59" s="9">
        <f>+H59*60%</f>
        <v>183.27178800000002</v>
      </c>
    </row>
    <row r="60" spans="1:14" ht="24.75" customHeight="1">
      <c r="A60" s="199"/>
      <c r="B60" s="26" t="s">
        <v>208</v>
      </c>
      <c r="C60" s="30"/>
      <c r="D60" s="27"/>
      <c r="E60" s="26"/>
      <c r="F60" s="91">
        <v>0</v>
      </c>
      <c r="G60" s="91"/>
      <c r="H60" s="91">
        <f>SUM(H58:H59)</f>
        <v>530.45298000000003</v>
      </c>
      <c r="I60" s="26"/>
      <c r="J60" s="91">
        <f>SUM(J58:J59)</f>
        <v>-56.060780000000022</v>
      </c>
      <c r="K60" s="91"/>
      <c r="L60" s="91">
        <v>474.3922</v>
      </c>
    </row>
    <row r="61" spans="1:14">
      <c r="A61" s="199">
        <v>8</v>
      </c>
      <c r="B61" s="200" t="s">
        <v>65</v>
      </c>
      <c r="C61" s="201"/>
      <c r="D61" s="201"/>
      <c r="E61" s="201"/>
      <c r="F61" s="201"/>
      <c r="G61" s="201"/>
      <c r="H61" s="201"/>
      <c r="I61" s="201"/>
      <c r="J61" s="201"/>
      <c r="K61" s="201"/>
      <c r="L61" s="202"/>
    </row>
    <row r="62" spans="1:14">
      <c r="A62" s="199"/>
      <c r="B62" s="26" t="s">
        <v>66</v>
      </c>
      <c r="C62" s="30"/>
      <c r="D62" s="27"/>
      <c r="E62" s="26"/>
      <c r="F62" s="92">
        <v>0</v>
      </c>
      <c r="G62" s="92"/>
      <c r="H62" s="92"/>
      <c r="I62" s="57"/>
      <c r="J62" s="58"/>
      <c r="K62" s="92"/>
      <c r="L62" s="91"/>
    </row>
    <row r="63" spans="1:14">
      <c r="A63" s="199"/>
      <c r="B63" s="26" t="s">
        <v>67</v>
      </c>
      <c r="C63" s="30"/>
      <c r="D63" s="27"/>
      <c r="E63" s="26"/>
      <c r="F63" s="92">
        <v>0</v>
      </c>
      <c r="G63" s="92"/>
      <c r="H63" s="92"/>
      <c r="I63" s="26"/>
      <c r="J63" s="92">
        <v>0</v>
      </c>
      <c r="K63" s="26"/>
      <c r="L63" s="92">
        <v>0</v>
      </c>
    </row>
    <row r="64" spans="1:14">
      <c r="A64" s="199"/>
      <c r="B64" s="26" t="s">
        <v>68</v>
      </c>
      <c r="C64" s="30"/>
      <c r="D64" s="27"/>
      <c r="E64" s="26"/>
      <c r="F64" s="92"/>
      <c r="G64" s="92"/>
      <c r="H64" s="92"/>
      <c r="I64" s="26"/>
      <c r="J64" s="92"/>
      <c r="K64" s="26"/>
      <c r="L64" s="92"/>
    </row>
    <row r="65" spans="1:12">
      <c r="A65" s="199"/>
      <c r="B65" s="26" t="s">
        <v>69</v>
      </c>
      <c r="C65" s="30"/>
      <c r="D65" s="27"/>
      <c r="E65" s="26"/>
      <c r="F65" s="92">
        <v>0</v>
      </c>
      <c r="G65" s="92"/>
      <c r="H65" s="92"/>
      <c r="I65" s="26"/>
      <c r="J65" s="92">
        <f>+SUM(J62:J64)</f>
        <v>0</v>
      </c>
      <c r="K65" s="26"/>
      <c r="L65" s="92">
        <f>+SUM(L62:L64)</f>
        <v>0</v>
      </c>
    </row>
    <row r="66" spans="1:12" s="17" customFormat="1">
      <c r="A66" s="93"/>
      <c r="B66" s="94" t="s">
        <v>70</v>
      </c>
      <c r="C66" s="94"/>
      <c r="D66" s="95"/>
      <c r="E66" s="96"/>
      <c r="F66" s="97" t="e">
        <f>+F56+F54+F50+F37+F27+F23</f>
        <v>#REF!</v>
      </c>
      <c r="G66" s="97"/>
      <c r="H66" s="97">
        <f>+H60+H56+H55+H37+H27+H23</f>
        <v>4847.4898300000004</v>
      </c>
      <c r="I66" s="97"/>
      <c r="J66" s="97">
        <f>+J60+J56+J55+J37+J27+J23</f>
        <v>423.61011999999999</v>
      </c>
      <c r="K66" s="97"/>
      <c r="L66" s="97">
        <f>+L60+L56+L55+L37+L27+L23</f>
        <v>5271.0999499999998</v>
      </c>
    </row>
    <row r="67" spans="1:12" s="17" customFormat="1">
      <c r="A67" s="98"/>
      <c r="B67" s="99"/>
      <c r="C67" s="99"/>
      <c r="D67" s="100"/>
      <c r="E67" s="101"/>
      <c r="F67" s="102"/>
      <c r="G67" s="102"/>
      <c r="H67" s="102"/>
      <c r="I67" s="101"/>
      <c r="J67" s="102"/>
      <c r="K67" s="101"/>
      <c r="L67" s="102"/>
    </row>
    <row r="68" spans="1:12" s="17" customFormat="1">
      <c r="A68" s="98"/>
      <c r="B68" s="99"/>
      <c r="C68" s="99"/>
      <c r="D68" s="100"/>
      <c r="E68" s="101"/>
      <c r="F68" s="102"/>
      <c r="G68" s="102"/>
      <c r="H68" s="102"/>
      <c r="I68" s="101"/>
      <c r="J68" s="102"/>
      <c r="K68" s="101"/>
      <c r="L68" s="102"/>
    </row>
    <row r="70" spans="1:12">
      <c r="B70" s="8" t="s">
        <v>195</v>
      </c>
      <c r="J70" s="11" t="s">
        <v>197</v>
      </c>
    </row>
    <row r="71" spans="1:12">
      <c r="B71" s="8" t="s">
        <v>196</v>
      </c>
    </row>
    <row r="72" spans="1:12">
      <c r="B72" s="8" t="s">
        <v>151</v>
      </c>
    </row>
  </sheetData>
  <mergeCells count="20">
    <mergeCell ref="A1:L1"/>
    <mergeCell ref="A4:A5"/>
    <mergeCell ref="B4:B5"/>
    <mergeCell ref="C4:C5"/>
    <mergeCell ref="D4:D5"/>
    <mergeCell ref="E4:F4"/>
    <mergeCell ref="G4:J4"/>
    <mergeCell ref="G5:H5"/>
    <mergeCell ref="I5:J5"/>
    <mergeCell ref="K4:L5"/>
    <mergeCell ref="A57:A60"/>
    <mergeCell ref="B57:L57"/>
    <mergeCell ref="A61:A65"/>
    <mergeCell ref="B61:L61"/>
    <mergeCell ref="B6:C6"/>
    <mergeCell ref="A24:A26"/>
    <mergeCell ref="A28:A34"/>
    <mergeCell ref="B28:C28"/>
    <mergeCell ref="A38:A50"/>
    <mergeCell ref="A6:A23"/>
  </mergeCells>
  <pageMargins left="0.23622047244094491" right="0.23622047244094491" top="0.74803149606299213" bottom="0.74803149606299213" header="0.31496062992125984" footer="0.31496062992125984"/>
  <pageSetup paperSize="9" scale="72" orientation="portrait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COARSE CEREAL </vt:lpstr>
      <vt:lpstr>Pulses </vt:lpstr>
      <vt:lpstr>Rice </vt:lpstr>
      <vt:lpstr>'Pulses '!Print_Area</vt:lpstr>
      <vt:lpstr>'Pulses '!Print_Titles</vt:lpstr>
      <vt:lpstr>'Rice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hcl</cp:lastModifiedBy>
  <cp:lastPrinted>2017-04-21T10:26:33Z</cp:lastPrinted>
  <dcterms:created xsi:type="dcterms:W3CDTF">2016-03-31T14:57:32Z</dcterms:created>
  <dcterms:modified xsi:type="dcterms:W3CDTF">2017-07-17T07:08:45Z</dcterms:modified>
</cp:coreProperties>
</file>